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35" windowWidth="22410" windowHeight="13095" activeTab="0"/>
  </bookViews>
  <sheets>
    <sheet name="YM-2012-Q1" sheetId="1" r:id="rId1"/>
    <sheet name="YM-2011-Q4" sheetId="2" r:id="rId2"/>
    <sheet name="Links" sheetId="3" r:id="rId3"/>
    <sheet name="YM Original" sheetId="4" r:id="rId4"/>
  </sheets>
  <definedNames/>
  <calcPr fullCalcOnLoad="1"/>
</workbook>
</file>

<file path=xl/comments1.xml><?xml version="1.0" encoding="utf-8"?>
<comments xmlns="http://schemas.openxmlformats.org/spreadsheetml/2006/main">
  <authors>
    <author>Vic</author>
  </authors>
  <commentList>
    <comment ref="M30" authorId="0">
      <text>
        <r>
          <rPr>
            <b/>
            <sz val="12"/>
            <color indexed="10"/>
            <rFont val="Tahoma"/>
            <family val="2"/>
          </rPr>
          <t>Assumes RT drawdown</t>
        </r>
      </text>
    </comment>
    <comment ref="L32" authorId="0">
      <text>
        <r>
          <rPr>
            <b/>
            <sz val="12"/>
            <color indexed="10"/>
            <rFont val="Tahoma"/>
            <family val="2"/>
          </rPr>
          <t>Assumes conversion to common shares</t>
        </r>
        <r>
          <rPr>
            <sz val="9"/>
            <rFont val="Tahoma"/>
            <family val="2"/>
          </rPr>
          <t xml:space="preserve">
</t>
        </r>
      </text>
    </comment>
    <comment ref="D59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9"/>
            <rFont val="Tahoma"/>
            <family val="2"/>
          </rPr>
          <t xml:space="preserve">Cleared per IR </t>
        </r>
        <r>
          <rPr>
            <sz val="9"/>
            <rFont val="Tahoma"/>
            <family val="2"/>
          </rPr>
          <t xml:space="preserve">
</t>
        </r>
      </text>
    </comment>
    <comment ref="E67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2"/>
          </rPr>
          <t xml:space="preserve">
</t>
        </r>
      </text>
    </comment>
    <comment ref="I67" authorId="0">
      <text>
        <r>
          <rPr>
            <b/>
            <sz val="9"/>
            <rFont val="Tahoma"/>
            <family val="2"/>
          </rPr>
          <t>Jan 1, 2013 installment + Feb balance due</t>
        </r>
        <r>
          <rPr>
            <sz val="9"/>
            <rFont val="Tahoma"/>
            <family val="2"/>
          </rPr>
          <t xml:space="preserve">
</t>
        </r>
      </text>
    </comment>
    <comment ref="E68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2"/>
          </rPr>
          <t xml:space="preserve">
</t>
        </r>
      </text>
    </comment>
    <comment ref="I68" authorId="0">
      <text>
        <r>
          <rPr>
            <b/>
            <sz val="12"/>
            <color indexed="10"/>
            <rFont val="Tahoma"/>
            <family val="2"/>
          </rPr>
          <t xml:space="preserve">Assumes repayment of the RT in full.
</t>
        </r>
      </text>
    </comment>
    <comment ref="M68" authorId="0">
      <text>
        <r>
          <rPr>
            <b/>
            <sz val="12"/>
            <color indexed="10"/>
            <rFont val="Tahoma"/>
            <family val="2"/>
          </rPr>
          <t>Assumes RT drawdown</t>
        </r>
        <r>
          <rPr>
            <sz val="12"/>
            <color indexed="10"/>
            <rFont val="Tahoma"/>
            <family val="2"/>
          </rPr>
          <t xml:space="preserve">
</t>
        </r>
      </text>
    </comment>
    <comment ref="P68" authorId="0">
      <text>
        <r>
          <rPr>
            <b/>
            <sz val="12"/>
            <color indexed="10"/>
            <rFont val="Tahoma"/>
            <family val="2"/>
          </rPr>
          <t>Assumes RT payback</t>
        </r>
        <r>
          <rPr>
            <sz val="9"/>
            <rFont val="Tahoma"/>
            <family val="2"/>
          </rPr>
          <t xml:space="preserve">
</t>
        </r>
      </text>
    </comment>
    <comment ref="D69" authorId="0">
      <text>
        <r>
          <rPr>
            <b/>
            <sz val="9"/>
            <rFont val="Tahoma"/>
            <family val="2"/>
          </rPr>
          <t>Cleared per IR</t>
        </r>
        <r>
          <rPr>
            <sz val="9"/>
            <rFont val="Tahoma"/>
            <family val="2"/>
          </rPr>
          <t xml:space="preserve">
</t>
        </r>
      </text>
    </comment>
    <comment ref="E46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2"/>
          </rPr>
          <t>Consolidated stmt of Cash Flows</t>
        </r>
        <r>
          <rPr>
            <sz val="9"/>
            <rFont val="Tahoma"/>
            <family val="2"/>
          </rPr>
          <t xml:space="preserve">
</t>
        </r>
      </text>
    </comment>
    <comment ref="E44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2"/>
          </rPr>
          <t xml:space="preserve">
</t>
        </r>
      </text>
    </comment>
    <comment ref="E50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12"/>
            <color indexed="10"/>
            <rFont val="Tahoma"/>
            <family val="2"/>
          </rPr>
          <t>Closure of higher-cost Canpages  boosted margins</t>
        </r>
        <r>
          <rPr>
            <sz val="9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Vic</author>
  </authors>
  <commentList>
    <comment ref="D56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2"/>
          </rPr>
          <t xml:space="preserve">
</t>
        </r>
      </text>
    </comment>
    <comment ref="D64" authorId="0">
      <text>
        <r>
          <rPr>
            <b/>
            <sz val="9"/>
            <rFont val="Tahoma"/>
            <family val="2"/>
          </rPr>
          <t xml:space="preserve">Cleared per IR </t>
        </r>
        <r>
          <rPr>
            <sz val="9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9"/>
            <rFont val="Tahoma"/>
            <family val="2"/>
          </rPr>
          <t>Cleared per IR</t>
        </r>
        <r>
          <rPr>
            <sz val="9"/>
            <rFont val="Tahoma"/>
            <family val="2"/>
          </rPr>
          <t xml:space="preserve">
</t>
        </r>
      </text>
    </comment>
    <comment ref="E65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2"/>
          </rPr>
          <t xml:space="preserve">
</t>
        </r>
      </text>
    </comment>
    <comment ref="E64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2"/>
          </rPr>
          <t xml:space="preserve">
</t>
        </r>
      </text>
    </comment>
    <comment ref="I64" authorId="0">
      <text>
        <r>
          <rPr>
            <b/>
            <sz val="9"/>
            <rFont val="Tahoma"/>
            <family val="2"/>
          </rPr>
          <t>Jan 1, 2013 installment + Feb balance due</t>
        </r>
        <r>
          <rPr>
            <sz val="9"/>
            <rFont val="Tahoma"/>
            <family val="2"/>
          </rPr>
          <t xml:space="preserve">
</t>
        </r>
      </text>
    </comment>
    <comment ref="I65" authorId="0">
      <text>
        <r>
          <rPr>
            <b/>
            <sz val="12"/>
            <color indexed="10"/>
            <rFont val="Tahoma"/>
            <family val="2"/>
          </rPr>
          <t xml:space="preserve">Assumes repayment of the RT in full.
</t>
        </r>
      </text>
    </comment>
    <comment ref="M30" authorId="0">
      <text>
        <r>
          <rPr>
            <b/>
            <sz val="12"/>
            <color indexed="10"/>
            <rFont val="Tahoma"/>
            <family val="2"/>
          </rPr>
          <t>Assumes RT drawdown</t>
        </r>
      </text>
    </comment>
    <comment ref="M65" authorId="0">
      <text>
        <r>
          <rPr>
            <b/>
            <sz val="12"/>
            <color indexed="10"/>
            <rFont val="Tahoma"/>
            <family val="2"/>
          </rPr>
          <t>Assumes RT drawdown</t>
        </r>
        <r>
          <rPr>
            <sz val="12"/>
            <color indexed="10"/>
            <rFont val="Tahoma"/>
            <family val="2"/>
          </rPr>
          <t xml:space="preserve">
</t>
        </r>
      </text>
    </comment>
    <comment ref="P65" authorId="0">
      <text>
        <r>
          <rPr>
            <b/>
            <sz val="12"/>
            <color indexed="10"/>
            <rFont val="Tahoma"/>
            <family val="2"/>
          </rPr>
          <t>Assumes RT payback</t>
        </r>
        <r>
          <rPr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b/>
            <sz val="12"/>
            <color indexed="10"/>
            <rFont val="Tahoma"/>
            <family val="2"/>
          </rPr>
          <t>Assumes conversion to common shares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Vic</author>
  </authors>
  <commentList>
    <comment ref="D33" authorId="0">
      <text>
        <r>
          <rPr>
            <b/>
            <sz val="9"/>
            <rFont val="Tahoma"/>
            <family val="2"/>
          </rPr>
          <t>Lespac sale</t>
        </r>
        <r>
          <rPr>
            <sz val="9"/>
            <rFont val="Tahoma"/>
            <family val="2"/>
          </rPr>
          <t xml:space="preserve">
</t>
        </r>
      </text>
    </comment>
    <comment ref="D37" authorId="0">
      <text>
        <r>
          <rPr>
            <b/>
            <sz val="9"/>
            <rFont val="Tahoma"/>
            <family val="2"/>
          </rPr>
          <t>Cleared per IR - John</t>
        </r>
        <r>
          <rPr>
            <sz val="9"/>
            <rFont val="Tahoma"/>
            <family val="2"/>
          </rPr>
          <t xml:space="preserve">
</t>
        </r>
      </text>
    </comment>
    <comment ref="D38" authorId="0">
      <text>
        <r>
          <rPr>
            <b/>
            <sz val="9"/>
            <rFont val="Tahoma"/>
            <family val="2"/>
          </rPr>
          <t>Cleared per IR - John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<sst xmlns="http://schemas.openxmlformats.org/spreadsheetml/2006/main" count="411" uniqueCount="130">
  <si>
    <t>Credit Facility</t>
  </si>
  <si>
    <t>2012 - Q1</t>
  </si>
  <si>
    <t>2012 - Q2</t>
  </si>
  <si>
    <t>2012 - Q3</t>
  </si>
  <si>
    <t>2012 - Q4</t>
  </si>
  <si>
    <t>2013 - Q1</t>
  </si>
  <si>
    <t>2013 - Q2</t>
  </si>
  <si>
    <t>2013 - Q3</t>
  </si>
  <si>
    <t>2013 - Q4</t>
  </si>
  <si>
    <t>2014 - Q1</t>
  </si>
  <si>
    <t>2014 - Q2</t>
  </si>
  <si>
    <t>2014 - Q3</t>
  </si>
  <si>
    <t>2014 - Q4</t>
  </si>
  <si>
    <t>Tax installments</t>
  </si>
  <si>
    <t>Medium Term Notes</t>
  </si>
  <si>
    <t>A</t>
  </si>
  <si>
    <t>Gross operating profit</t>
  </si>
  <si>
    <t>Interest expense</t>
  </si>
  <si>
    <t>Income taxes</t>
  </si>
  <si>
    <t>Dividends</t>
  </si>
  <si>
    <t>2011 - Q4</t>
  </si>
  <si>
    <t>Total payouts</t>
  </si>
  <si>
    <t>Debt</t>
  </si>
  <si>
    <t>Accumulated flow</t>
  </si>
  <si>
    <t>series</t>
  </si>
  <si>
    <t>Commercial paper</t>
  </si>
  <si>
    <t>Dec 2013 - 6.85%</t>
  </si>
  <si>
    <t>July 2013 - 6.50%</t>
  </si>
  <si>
    <t>Apr 2014 - 5.71%</t>
  </si>
  <si>
    <t>Feb 2015 - 7.30%</t>
  </si>
  <si>
    <t>Feb 2016 - 5.25%</t>
  </si>
  <si>
    <t>Nov 2019 - 5.85%</t>
  </si>
  <si>
    <t>Mar 2020 - 7.75%</t>
  </si>
  <si>
    <t>Feb 2036 - 6.25%</t>
  </si>
  <si>
    <t>Debentures  2017- 6.25%</t>
  </si>
  <si>
    <t>Cash on hand - opening</t>
  </si>
  <si>
    <t xml:space="preserve">Debt    </t>
  </si>
  <si>
    <t>Annual</t>
  </si>
  <si>
    <t>Yello Media</t>
  </si>
  <si>
    <t xml:space="preserve">Taxes </t>
  </si>
  <si>
    <t>B</t>
  </si>
  <si>
    <t>C</t>
  </si>
  <si>
    <t>D</t>
  </si>
  <si>
    <t>Excess cash for period</t>
  </si>
  <si>
    <t>(A - B)</t>
  </si>
  <si>
    <t>E</t>
  </si>
  <si>
    <t>Later</t>
  </si>
  <si>
    <t>CASH PAYOUTS</t>
  </si>
  <si>
    <t>Interest</t>
  </si>
  <si>
    <t xml:space="preserve">Annual </t>
  </si>
  <si>
    <t>(The accumulated flow is the sum of the periods to date, displaying the available cash to meet critical debt payments.)</t>
  </si>
  <si>
    <t>(C - D)</t>
  </si>
  <si>
    <t>F</t>
  </si>
  <si>
    <t>Cash flow for period</t>
  </si>
  <si>
    <t>Cash from asset sales</t>
  </si>
  <si>
    <t>O/S</t>
  </si>
  <si>
    <t>Current</t>
  </si>
  <si>
    <t>EBITDA</t>
  </si>
  <si>
    <t xml:space="preserve">Test period </t>
  </si>
  <si>
    <t xml:space="preserve">(point 9.8 - 6 month EBITDA to exceed 3.5 times test period finance charges) </t>
  </si>
  <si>
    <t>&gt; 3.5</t>
  </si>
  <si>
    <t>Subject to conversion in 2012</t>
  </si>
  <si>
    <t>6-month finance charges &gt;&gt;&gt;</t>
  </si>
  <si>
    <t xml:space="preserve">Test </t>
  </si>
  <si>
    <t>Period</t>
  </si>
  <si>
    <t>PAID</t>
  </si>
  <si>
    <t xml:space="preserve">    Preferred shares</t>
  </si>
  <si>
    <t>&lt;3.5</t>
  </si>
  <si>
    <r>
      <t xml:space="preserve">(point 9.7 - total consolidated debt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to exceed 3.5 times extrapolated 12-month EBITDA)</t>
    </r>
  </si>
  <si>
    <t>total opening debt</t>
  </si>
  <si>
    <t>Credit Facility - 4.6%</t>
  </si>
  <si>
    <t>CAPEX</t>
  </si>
  <si>
    <t>Revised: Jan 19, 2012</t>
  </si>
  <si>
    <t>Online revenues</t>
  </si>
  <si>
    <t>Print revenues</t>
  </si>
  <si>
    <t xml:space="preserve">  Online EBITDA</t>
  </si>
  <si>
    <t>Revenue growth</t>
  </si>
  <si>
    <t xml:space="preserve">  Print EBITDA</t>
  </si>
  <si>
    <t>Gross margin  rate</t>
  </si>
  <si>
    <t>Revenue decline</t>
  </si>
  <si>
    <t>Total revenues</t>
  </si>
  <si>
    <t>Percent</t>
  </si>
  <si>
    <t>Links</t>
  </si>
  <si>
    <t>2011Q3 supplemental</t>
  </si>
  <si>
    <t>http://www.ypg.com/images/ckeditor/files/2011_Q4_SuppDisc.pdf</t>
  </si>
  <si>
    <t>2011Q4 supplemental</t>
  </si>
  <si>
    <t>http://www.ypg.com/images/ckeditor/files/2011_Q3_SuppDisc.pdf</t>
  </si>
  <si>
    <t>Credit Facility NRT 4.4%</t>
  </si>
  <si>
    <t>Credit Facility  RT  4.4%</t>
  </si>
  <si>
    <t>Credit Facility - NRT</t>
  </si>
  <si>
    <t>Credit Facility -   RT</t>
  </si>
  <si>
    <t>2011Q4 MD&amp;A</t>
  </si>
  <si>
    <t>http://www.ypg.com/images/ckeditor/files/2011_Q4_MDA.pdf</t>
  </si>
  <si>
    <t>Shares</t>
  </si>
  <si>
    <t xml:space="preserve">$     </t>
  </si>
  <si>
    <t>Adjustments for ratios</t>
  </si>
  <si>
    <t xml:space="preserve">  Cash</t>
  </si>
  <si>
    <t>Q4</t>
  </si>
  <si>
    <t>LOC</t>
  </si>
  <si>
    <t>net debt</t>
  </si>
  <si>
    <t>convertible debentures</t>
  </si>
  <si>
    <t>Interest adj (timing)</t>
  </si>
  <si>
    <t>Net inc/(loss)-disc Ops</t>
  </si>
  <si>
    <t>Balancing adjustment</t>
  </si>
  <si>
    <t>Accumulated unpaid dividends - C &amp; D's</t>
  </si>
  <si>
    <t>Online - quarterly change (+/-)</t>
  </si>
  <si>
    <t>Print    - quarterly change (+/-)</t>
  </si>
  <si>
    <t>Preferred</t>
  </si>
  <si>
    <t>Yellow Media</t>
  </si>
  <si>
    <t>Revised: March 8, 2012</t>
  </si>
  <si>
    <t>Enter the changes in decimals</t>
  </si>
  <si>
    <t xml:space="preserve">  &lt;&lt;&lt;   Note declining margins</t>
  </si>
  <si>
    <t xml:space="preserve">EBITDA Total    </t>
  </si>
  <si>
    <t>Short form prospectus:</t>
  </si>
  <si>
    <t>debentures</t>
  </si>
  <si>
    <t>http://www.docs.scotiaitrade.com/pdf/YPGBD_final.pdf</t>
  </si>
  <si>
    <t xml:space="preserve">Series 3 </t>
  </si>
  <si>
    <t>rate resets</t>
  </si>
  <si>
    <t>Series 5</t>
  </si>
  <si>
    <t>http://www.sedar.com/GetFile.do?lang=EN&amp;docClass=9&amp;issuerNo=00020539&amp;fileName=/csfsprod/data102/filings/01512586/00000001/x%3A\ASedar\2009\YPG\Prelim2\ProEng.pdf</t>
  </si>
  <si>
    <t>Other</t>
  </si>
  <si>
    <t>Other finance charges</t>
  </si>
  <si>
    <t>Pension top-up</t>
  </si>
  <si>
    <t xml:space="preserve">Income Taxes </t>
  </si>
  <si>
    <t>Change in operating assets/liabilities</t>
  </si>
  <si>
    <t>new</t>
  </si>
  <si>
    <t>2012Q4 conference call blog</t>
  </si>
  <si>
    <t>http://www.theglobeandmail.com/globe-investor/updates-from-yellow-medias-call/article2425917/</t>
  </si>
  <si>
    <t>EBITDA  rate</t>
  </si>
  <si>
    <t>Revised: May 31, 2012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</si>
</sst>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&quot;$&quot;#,##0.00"/>
    <numFmt numFmtId="175" formatCode="#,##0.0"/>
    <numFmt numFmtId="176" formatCode="0.0%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0.0;[Red]0.0"/>
    <numFmt numFmtId="181" formatCode="0.0_ ;[Red]\-0.0\ 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2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16"/>
      <name val="Arial Black"/>
      <family val="2"/>
    </font>
    <font>
      <b/>
      <sz val="16"/>
      <name val="Arial"/>
      <family val="2"/>
    </font>
    <font>
      <sz val="9"/>
      <name val="Arial"/>
      <family val="2"/>
    </font>
    <font>
      <b/>
      <sz val="20"/>
      <name val="Arial Black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1"/>
      <color indexed="10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/>
    </xf>
    <xf numFmtId="172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 horizontal="right"/>
    </xf>
    <xf numFmtId="173" fontId="0" fillId="0" borderId="10" xfId="0" applyNumberFormat="1" applyFill="1" applyBorder="1" applyAlignment="1">
      <alignment horizontal="right"/>
    </xf>
    <xf numFmtId="173" fontId="0" fillId="0" borderId="0" xfId="0" applyNumberFormat="1" applyAlignment="1">
      <alignment/>
    </xf>
    <xf numFmtId="17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24" borderId="0" xfId="0" applyFont="1" applyFill="1" applyAlignment="1">
      <alignment horizontal="right"/>
    </xf>
    <xf numFmtId="0" fontId="2" fillId="25" borderId="0" xfId="0" applyFont="1" applyFill="1" applyAlignment="1">
      <alignment horizontal="right"/>
    </xf>
    <xf numFmtId="0" fontId="2" fillId="7" borderId="0" xfId="0" applyFont="1" applyFill="1" applyAlignment="1">
      <alignment horizontal="right"/>
    </xf>
    <xf numFmtId="17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173" fontId="2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13" xfId="0" applyNumberFormat="1" applyFont="1" applyFill="1" applyBorder="1" applyAlignment="1">
      <alignment horizontal="right"/>
    </xf>
    <xf numFmtId="173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3" fontId="2" fillId="0" borderId="0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72" fontId="2" fillId="4" borderId="0" xfId="0" applyNumberFormat="1" applyFont="1" applyFill="1" applyAlignment="1">
      <alignment horizontal="right"/>
    </xf>
    <xf numFmtId="1" fontId="3" fillId="4" borderId="0" xfId="0" applyNumberFormat="1" applyFont="1" applyFill="1" applyAlignment="1">
      <alignment horizontal="right"/>
    </xf>
    <xf numFmtId="172" fontId="3" fillId="4" borderId="0" xfId="0" applyNumberFormat="1" applyFont="1" applyFill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73" fontId="2" fillId="0" borderId="16" xfId="0" applyNumberFormat="1" applyFont="1" applyFill="1" applyBorder="1" applyAlignment="1">
      <alignment horizontal="right"/>
    </xf>
    <xf numFmtId="173" fontId="2" fillId="0" borderId="15" xfId="0" applyNumberFormat="1" applyFont="1" applyFill="1" applyBorder="1" applyAlignment="1">
      <alignment horizontal="right"/>
    </xf>
    <xf numFmtId="173" fontId="0" fillId="0" borderId="15" xfId="0" applyNumberFormat="1" applyFill="1" applyBorder="1" applyAlignment="1">
      <alignment horizontal="right"/>
    </xf>
    <xf numFmtId="173" fontId="0" fillId="0" borderId="17" xfId="0" applyNumberForma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173" fontId="0" fillId="0" borderId="15" xfId="0" applyNumberFormat="1" applyBorder="1" applyAlignment="1">
      <alignment/>
    </xf>
    <xf numFmtId="173" fontId="2" fillId="0" borderId="18" xfId="0" applyNumberFormat="1" applyFont="1" applyBorder="1" applyAlignment="1">
      <alignment/>
    </xf>
    <xf numFmtId="173" fontId="2" fillId="0" borderId="17" xfId="0" applyNumberFormat="1" applyFont="1" applyBorder="1" applyAlignment="1">
      <alignment/>
    </xf>
    <xf numFmtId="0" fontId="3" fillId="4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>
      <alignment/>
    </xf>
    <xf numFmtId="175" fontId="2" fillId="0" borderId="13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2" fontId="2" fillId="0" borderId="13" xfId="0" applyNumberFormat="1" applyFont="1" applyBorder="1" applyAlignment="1">
      <alignment/>
    </xf>
    <xf numFmtId="0" fontId="3" fillId="14" borderId="0" xfId="0" applyFont="1" applyFill="1" applyAlignment="1">
      <alignment/>
    </xf>
    <xf numFmtId="0" fontId="0" fillId="14" borderId="0" xfId="0" applyFill="1" applyAlignment="1">
      <alignment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right"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/>
    </xf>
    <xf numFmtId="0" fontId="2" fillId="15" borderId="0" xfId="0" applyFont="1" applyFill="1" applyAlignment="1">
      <alignment/>
    </xf>
    <xf numFmtId="0" fontId="2" fillId="15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173" fontId="8" fillId="24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2" fontId="8" fillId="2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73" fontId="2" fillId="20" borderId="15" xfId="0" applyNumberFormat="1" applyFont="1" applyFill="1" applyBorder="1" applyAlignment="1">
      <alignment horizontal="right"/>
    </xf>
    <xf numFmtId="9" fontId="0" fillId="0" borderId="0" xfId="0" applyNumberFormat="1" applyFill="1" applyAlignment="1">
      <alignment horizontal="right"/>
    </xf>
    <xf numFmtId="9" fontId="0" fillId="0" borderId="15" xfId="0" applyNumberFormat="1" applyFill="1" applyBorder="1" applyAlignment="1">
      <alignment horizontal="right"/>
    </xf>
    <xf numFmtId="10" fontId="0" fillId="0" borderId="0" xfId="0" applyNumberFormat="1" applyFill="1" applyAlignment="1">
      <alignment horizontal="right"/>
    </xf>
    <xf numFmtId="10" fontId="9" fillId="0" borderId="0" xfId="0" applyNumberFormat="1" applyFont="1" applyFill="1" applyAlignment="1">
      <alignment horizontal="right"/>
    </xf>
    <xf numFmtId="173" fontId="2" fillId="20" borderId="18" xfId="0" applyNumberFormat="1" applyFont="1" applyFill="1" applyBorder="1" applyAlignment="1">
      <alignment horizontal="right"/>
    </xf>
    <xf numFmtId="173" fontId="2" fillId="20" borderId="0" xfId="0" applyNumberFormat="1" applyFont="1" applyFill="1" applyBorder="1" applyAlignment="1">
      <alignment horizontal="right"/>
    </xf>
    <xf numFmtId="173" fontId="2" fillId="20" borderId="13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11" fillId="0" borderId="0" xfId="53" applyAlignment="1" applyProtection="1">
      <alignment/>
      <protection/>
    </xf>
    <xf numFmtId="171" fontId="0" fillId="0" borderId="0" xfId="42" applyFont="1" applyAlignment="1">
      <alignment/>
    </xf>
    <xf numFmtId="179" fontId="0" fillId="0" borderId="0" xfId="42" applyNumberFormat="1" applyFont="1" applyAlignment="1">
      <alignment/>
    </xf>
    <xf numFmtId="0" fontId="13" fillId="24" borderId="2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right"/>
    </xf>
    <xf numFmtId="0" fontId="3" fillId="14" borderId="10" xfId="0" applyFont="1" applyFill="1" applyBorder="1" applyAlignment="1">
      <alignment/>
    </xf>
    <xf numFmtId="0" fontId="2" fillId="14" borderId="1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14" borderId="10" xfId="0" applyFill="1" applyBorder="1" applyAlignment="1">
      <alignment/>
    </xf>
    <xf numFmtId="1" fontId="0" fillId="0" borderId="13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16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10" fontId="15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176" fontId="0" fillId="0" borderId="15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176" fontId="0" fillId="0" borderId="0" xfId="0" applyNumberForma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81" fontId="2" fillId="0" borderId="18" xfId="0" applyNumberFormat="1" applyFont="1" applyBorder="1" applyAlignment="1">
      <alignment/>
    </xf>
    <xf numFmtId="181" fontId="2" fillId="0" borderId="13" xfId="0" applyNumberFormat="1" applyFont="1" applyBorder="1" applyAlignment="1">
      <alignment/>
    </xf>
    <xf numFmtId="181" fontId="2" fillId="24" borderId="17" xfId="0" applyNumberFormat="1" applyFont="1" applyFill="1" applyBorder="1" applyAlignment="1">
      <alignment/>
    </xf>
    <xf numFmtId="181" fontId="2" fillId="24" borderId="0" xfId="0" applyNumberFormat="1" applyFont="1" applyFill="1" applyAlignment="1">
      <alignment/>
    </xf>
    <xf numFmtId="181" fontId="2" fillId="24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4" borderId="21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173" fontId="2" fillId="4" borderId="22" xfId="0" applyNumberFormat="1" applyFont="1" applyFill="1" applyBorder="1" applyAlignment="1">
      <alignment/>
    </xf>
    <xf numFmtId="173" fontId="2" fillId="4" borderId="23" xfId="0" applyNumberFormat="1" applyFont="1" applyFill="1" applyBorder="1" applyAlignment="1">
      <alignment/>
    </xf>
    <xf numFmtId="173" fontId="2" fillId="26" borderId="0" xfId="0" applyNumberFormat="1" applyFont="1" applyFill="1" applyAlignment="1">
      <alignment horizontal="right"/>
    </xf>
    <xf numFmtId="176" fontId="38" fillId="0" borderId="0" xfId="0" applyNumberFormat="1" applyFont="1" applyFill="1" applyBorder="1" applyAlignment="1">
      <alignment horizontal="left"/>
    </xf>
    <xf numFmtId="0" fontId="39" fillId="0" borderId="0" xfId="0" applyFont="1" applyAlignment="1">
      <alignment horizontal="right"/>
    </xf>
    <xf numFmtId="0" fontId="40" fillId="0" borderId="24" xfId="0" applyFont="1" applyBorder="1" applyAlignment="1">
      <alignment horizontal="left"/>
    </xf>
    <xf numFmtId="0" fontId="40" fillId="0" borderId="25" xfId="0" applyFont="1" applyBorder="1" applyAlignment="1">
      <alignment horizontal="right"/>
    </xf>
    <xf numFmtId="10" fontId="40" fillId="0" borderId="25" xfId="0" applyNumberFormat="1" applyFont="1" applyBorder="1" applyAlignment="1">
      <alignment horizontal="right"/>
    </xf>
    <xf numFmtId="10" fontId="40" fillId="0" borderId="26" xfId="0" applyNumberFormat="1" applyFont="1" applyBorder="1" applyAlignment="1">
      <alignment horizontal="right"/>
    </xf>
    <xf numFmtId="1" fontId="39" fillId="0" borderId="0" xfId="0" applyNumberFormat="1" applyFont="1" applyAlignment="1">
      <alignment horizontal="right"/>
    </xf>
    <xf numFmtId="172" fontId="39" fillId="0" borderId="0" xfId="0" applyNumberFormat="1" applyFont="1" applyAlignment="1">
      <alignment horizontal="right"/>
    </xf>
    <xf numFmtId="0" fontId="41" fillId="0" borderId="24" xfId="0" applyFont="1" applyBorder="1" applyAlignment="1">
      <alignment horizontal="left"/>
    </xf>
    <xf numFmtId="0" fontId="41" fillId="0" borderId="25" xfId="0" applyFont="1" applyBorder="1" applyAlignment="1">
      <alignment horizontal="right"/>
    </xf>
    <xf numFmtId="10" fontId="41" fillId="0" borderId="25" xfId="0" applyNumberFormat="1" applyFont="1" applyBorder="1" applyAlignment="1">
      <alignment horizontal="right"/>
    </xf>
    <xf numFmtId="10" fontId="41" fillId="0" borderId="26" xfId="0" applyNumberFormat="1" applyFont="1" applyBorder="1" applyAlignment="1">
      <alignment horizontal="right"/>
    </xf>
    <xf numFmtId="181" fontId="2" fillId="24" borderId="0" xfId="0" applyNumberFormat="1" applyFont="1" applyFill="1" applyBorder="1" applyAlignment="1">
      <alignment/>
    </xf>
    <xf numFmtId="173" fontId="2" fillId="4" borderId="0" xfId="0" applyNumberFormat="1" applyFont="1" applyFill="1" applyBorder="1" applyAlignment="1">
      <alignment/>
    </xf>
    <xf numFmtId="173" fontId="2" fillId="24" borderId="13" xfId="0" applyNumberFormat="1" applyFont="1" applyFill="1" applyBorder="1" applyAlignment="1">
      <alignment horizontal="right"/>
    </xf>
    <xf numFmtId="173" fontId="2" fillId="11" borderId="0" xfId="0" applyNumberFormat="1" applyFont="1" applyFill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9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/>
    </xf>
    <xf numFmtId="173" fontId="0" fillId="0" borderId="0" xfId="0" applyNumberFormat="1" applyFill="1" applyBorder="1" applyAlignment="1">
      <alignment horizontal="right"/>
    </xf>
    <xf numFmtId="173" fontId="0" fillId="0" borderId="0" xfId="0" applyNumberFormat="1" applyBorder="1" applyAlignment="1">
      <alignment/>
    </xf>
    <xf numFmtId="181" fontId="2" fillId="24" borderId="10" xfId="0" applyNumberFormat="1" applyFont="1" applyFill="1" applyBorder="1" applyAlignment="1">
      <alignment/>
    </xf>
    <xf numFmtId="0" fontId="2" fillId="24" borderId="14" xfId="0" applyFont="1" applyFill="1" applyBorder="1" applyAlignment="1">
      <alignment horizontal="right"/>
    </xf>
    <xf numFmtId="10" fontId="15" fillId="0" borderId="15" xfId="0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173" fontId="0" fillId="4" borderId="15" xfId="0" applyNumberFormat="1" applyFill="1" applyBorder="1" applyAlignment="1">
      <alignment horizontal="right"/>
    </xf>
    <xf numFmtId="10" fontId="0" fillId="4" borderId="15" xfId="0" applyNumberFormat="1" applyFill="1" applyBorder="1" applyAlignment="1">
      <alignment horizontal="right"/>
    </xf>
    <xf numFmtId="176" fontId="0" fillId="4" borderId="15" xfId="0" applyNumberFormat="1" applyFill="1" applyBorder="1" applyAlignment="1">
      <alignment horizontal="right"/>
    </xf>
    <xf numFmtId="10" fontId="9" fillId="4" borderId="15" xfId="0" applyNumberFormat="1" applyFont="1" applyFill="1" applyBorder="1" applyAlignment="1">
      <alignment horizontal="right"/>
    </xf>
    <xf numFmtId="173" fontId="2" fillId="4" borderId="15" xfId="0" applyNumberFormat="1" applyFont="1" applyFill="1" applyBorder="1" applyAlignment="1">
      <alignment horizontal="right"/>
    </xf>
    <xf numFmtId="176" fontId="2" fillId="4" borderId="15" xfId="0" applyNumberFormat="1" applyFont="1" applyFill="1" applyBorder="1" applyAlignment="1">
      <alignment horizontal="right"/>
    </xf>
    <xf numFmtId="173" fontId="0" fillId="4" borderId="17" xfId="0" applyNumberFormat="1" applyFill="1" applyBorder="1" applyAlignment="1">
      <alignment horizontal="right"/>
    </xf>
    <xf numFmtId="173" fontId="2" fillId="4" borderId="18" xfId="0" applyNumberFormat="1" applyFont="1" applyFill="1" applyBorder="1" applyAlignment="1">
      <alignment horizontal="right"/>
    </xf>
    <xf numFmtId="173" fontId="0" fillId="4" borderId="15" xfId="0" applyNumberFormat="1" applyFill="1" applyBorder="1" applyAlignment="1">
      <alignment/>
    </xf>
    <xf numFmtId="173" fontId="2" fillId="4" borderId="15" xfId="0" applyNumberFormat="1" applyFont="1" applyFill="1" applyBorder="1" applyAlignment="1">
      <alignment/>
    </xf>
    <xf numFmtId="181" fontId="2" fillId="4" borderId="18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2" fillId="4" borderId="15" xfId="0" applyFont="1" applyFill="1" applyBorder="1" applyAlignment="1">
      <alignment horizontal="center"/>
    </xf>
    <xf numFmtId="181" fontId="2" fillId="4" borderId="15" xfId="0" applyNumberFormat="1" applyFont="1" applyFill="1" applyBorder="1" applyAlignment="1">
      <alignment horizontal="right"/>
    </xf>
    <xf numFmtId="10" fontId="41" fillId="0" borderId="11" xfId="0" applyNumberFormat="1" applyFont="1" applyBorder="1" applyAlignment="1">
      <alignment horizontal="right"/>
    </xf>
    <xf numFmtId="10" fontId="40" fillId="0" borderId="11" xfId="0" applyNumberFormat="1" applyFont="1" applyBorder="1" applyAlignment="1">
      <alignment horizontal="right"/>
    </xf>
    <xf numFmtId="10" fontId="41" fillId="0" borderId="24" xfId="0" applyNumberFormat="1" applyFont="1" applyBorder="1" applyAlignment="1">
      <alignment horizontal="right"/>
    </xf>
    <xf numFmtId="10" fontId="40" fillId="0" borderId="24" xfId="0" applyNumberFormat="1" applyFont="1" applyBorder="1" applyAlignment="1">
      <alignment horizontal="right"/>
    </xf>
    <xf numFmtId="10" fontId="41" fillId="0" borderId="27" xfId="0" applyNumberFormat="1" applyFont="1" applyBorder="1" applyAlignment="1">
      <alignment horizontal="right"/>
    </xf>
    <xf numFmtId="10" fontId="40" fillId="0" borderId="27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1" fillId="0" borderId="26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3" fontId="2" fillId="20" borderId="28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ypg.com/images/ckeditor/files/2011_Q4_SuppDisc.pdf" TargetMode="External" /><Relationship Id="rId2" Type="http://schemas.openxmlformats.org/officeDocument/2006/relationships/hyperlink" Target="http://www.ypg.com/images/ckeditor/files/2011_Q3_SuppDisc.pdf" TargetMode="External" /><Relationship Id="rId3" Type="http://schemas.openxmlformats.org/officeDocument/2006/relationships/hyperlink" Target="http://www.docs.scotiaitrade.com/pdf/YPGBD_final.pdf" TargetMode="External" /><Relationship Id="rId4" Type="http://schemas.openxmlformats.org/officeDocument/2006/relationships/hyperlink" Target="http://www.sedar.com/GetFile.do?lang=EN&amp;docClass=9&amp;issuerNo=00020539&amp;fileName=/csfsprod/data102/filings/01512586/00000001/x%3A\ASedar\2009\YPG\Prelim2\ProEng.pdf" TargetMode="External" /><Relationship Id="rId5" Type="http://schemas.openxmlformats.org/officeDocument/2006/relationships/hyperlink" Target="http://www.theglobeandmail.com/globe-investor/updates-from-yellow-medias-call/article2425917/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6" sqref="E6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10" customWidth="1"/>
    <col min="25" max="25" width="9.140625" style="5" customWidth="1"/>
  </cols>
  <sheetData>
    <row r="1" spans="2:9" ht="31.5">
      <c r="B1" s="113" t="s">
        <v>129</v>
      </c>
      <c r="G1" s="64"/>
      <c r="H1" s="65" t="s">
        <v>108</v>
      </c>
      <c r="I1" s="64"/>
    </row>
    <row r="2" spans="1:25" s="98" customFormat="1" ht="10.5" customHeight="1">
      <c r="A2" s="31"/>
      <c r="B2" s="97"/>
      <c r="H2" s="99"/>
      <c r="X2" s="100"/>
      <c r="Y2" s="101"/>
    </row>
    <row r="3" spans="2:6" ht="20.25">
      <c r="B3" s="114" t="s">
        <v>110</v>
      </c>
      <c r="C3" s="95"/>
      <c r="D3" s="185"/>
      <c r="E3" s="104"/>
      <c r="F3" s="96"/>
    </row>
    <row r="4" spans="1:25" s="19" customFormat="1" ht="13.5" thickBot="1">
      <c r="A4" s="17"/>
      <c r="C4" s="144"/>
      <c r="D4" s="175" t="s">
        <v>20</v>
      </c>
      <c r="E4" s="160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19">
        <v>2015</v>
      </c>
      <c r="R4" s="19">
        <v>2016</v>
      </c>
      <c r="S4" s="19">
        <v>2017</v>
      </c>
      <c r="T4" s="19">
        <v>2018</v>
      </c>
      <c r="U4" s="19">
        <v>2019</v>
      </c>
      <c r="V4" s="19">
        <v>2020</v>
      </c>
      <c r="W4" s="17"/>
      <c r="X4" s="24"/>
      <c r="Y4" s="23"/>
    </row>
    <row r="5" spans="2:25" s="129" customFormat="1" ht="17.25" thickBot="1">
      <c r="B5" s="136" t="s">
        <v>105</v>
      </c>
      <c r="C5" s="137"/>
      <c r="D5" s="186"/>
      <c r="E5" s="183"/>
      <c r="F5" s="138">
        <f>4.5%/2</f>
        <v>0.0225</v>
      </c>
      <c r="G5" s="138">
        <f aca="true" t="shared" si="0" ref="G5:O6">+F5</f>
        <v>0.0225</v>
      </c>
      <c r="H5" s="139">
        <f t="shared" si="0"/>
        <v>0.0225</v>
      </c>
      <c r="I5" s="138">
        <f t="shared" si="0"/>
        <v>0.0225</v>
      </c>
      <c r="J5" s="138">
        <f t="shared" si="0"/>
        <v>0.0225</v>
      </c>
      <c r="K5" s="138">
        <f t="shared" si="0"/>
        <v>0.0225</v>
      </c>
      <c r="L5" s="139">
        <f t="shared" si="0"/>
        <v>0.0225</v>
      </c>
      <c r="M5" s="181">
        <f t="shared" si="0"/>
        <v>0.0225</v>
      </c>
      <c r="N5" s="138">
        <f t="shared" si="0"/>
        <v>0.0225</v>
      </c>
      <c r="O5" s="138">
        <f t="shared" si="0"/>
        <v>0.0225</v>
      </c>
      <c r="P5" s="139">
        <f>+O5</f>
        <v>0.0225</v>
      </c>
      <c r="Q5" s="179">
        <v>0.15</v>
      </c>
      <c r="R5" s="179">
        <v>0.15</v>
      </c>
      <c r="S5" s="139">
        <v>0.15</v>
      </c>
      <c r="T5" s="139">
        <v>0.15</v>
      </c>
      <c r="U5" s="139">
        <v>0.15</v>
      </c>
      <c r="V5" s="139">
        <v>0.15</v>
      </c>
      <c r="X5" s="134"/>
      <c r="Y5" s="135"/>
    </row>
    <row r="6" spans="2:25" s="129" customFormat="1" ht="17.25" thickBot="1">
      <c r="B6" s="130" t="s">
        <v>106</v>
      </c>
      <c r="C6" s="131"/>
      <c r="D6" s="131"/>
      <c r="E6" s="184"/>
      <c r="F6" s="132">
        <v>-0.044</v>
      </c>
      <c r="G6" s="132">
        <f t="shared" si="0"/>
        <v>-0.044</v>
      </c>
      <c r="H6" s="133">
        <f t="shared" si="0"/>
        <v>-0.044</v>
      </c>
      <c r="I6" s="182">
        <f t="shared" si="0"/>
        <v>-0.044</v>
      </c>
      <c r="J6" s="132">
        <f t="shared" si="0"/>
        <v>-0.044</v>
      </c>
      <c r="K6" s="132">
        <f t="shared" si="0"/>
        <v>-0.044</v>
      </c>
      <c r="L6" s="133">
        <f t="shared" si="0"/>
        <v>-0.044</v>
      </c>
      <c r="M6" s="182">
        <f t="shared" si="0"/>
        <v>-0.044</v>
      </c>
      <c r="N6" s="132">
        <f t="shared" si="0"/>
        <v>-0.044</v>
      </c>
      <c r="O6" s="132">
        <f t="shared" si="0"/>
        <v>-0.044</v>
      </c>
      <c r="P6" s="133">
        <f>+O6</f>
        <v>-0.044</v>
      </c>
      <c r="Q6" s="180">
        <v>-0.15</v>
      </c>
      <c r="R6" s="180">
        <v>-0.15</v>
      </c>
      <c r="S6" s="133">
        <v>0</v>
      </c>
      <c r="T6" s="133">
        <v>0</v>
      </c>
      <c r="U6" s="133">
        <v>0</v>
      </c>
      <c r="V6" s="133">
        <v>0</v>
      </c>
      <c r="X6" s="134"/>
      <c r="Y6" s="135"/>
    </row>
    <row r="7" spans="2:6" ht="20.25">
      <c r="B7" s="94"/>
      <c r="C7" s="95"/>
      <c r="D7" s="95"/>
      <c r="E7" s="161"/>
      <c r="F7" s="96"/>
    </row>
    <row r="8" spans="1:25" s="16" customFormat="1" ht="15.75">
      <c r="A8" s="17"/>
      <c r="D8" s="155"/>
      <c r="E8" s="177" t="s">
        <v>56</v>
      </c>
      <c r="F8" s="176"/>
      <c r="X8" s="24"/>
      <c r="Y8" s="23"/>
    </row>
    <row r="9" spans="1:25" s="19" customFormat="1" ht="12.75">
      <c r="A9" s="17"/>
      <c r="C9" s="144" t="s">
        <v>36</v>
      </c>
      <c r="D9" s="175" t="s">
        <v>20</v>
      </c>
      <c r="E9" s="162" t="s">
        <v>1</v>
      </c>
      <c r="F9" s="20" t="s">
        <v>2</v>
      </c>
      <c r="G9" s="20" t="s">
        <v>3</v>
      </c>
      <c r="H9" s="20" t="s">
        <v>4</v>
      </c>
      <c r="I9" s="21" t="s">
        <v>5</v>
      </c>
      <c r="J9" s="21" t="s">
        <v>6</v>
      </c>
      <c r="K9" s="21" t="s">
        <v>7</v>
      </c>
      <c r="L9" s="21" t="s">
        <v>8</v>
      </c>
      <c r="M9" s="22" t="s">
        <v>9</v>
      </c>
      <c r="N9" s="22" t="s">
        <v>10</v>
      </c>
      <c r="O9" s="22" t="s">
        <v>11</v>
      </c>
      <c r="P9" s="22" t="s">
        <v>12</v>
      </c>
      <c r="Q9" s="19">
        <v>2015</v>
      </c>
      <c r="R9" s="19">
        <v>2016</v>
      </c>
      <c r="S9" s="19">
        <v>2017</v>
      </c>
      <c r="T9" s="19">
        <v>2018</v>
      </c>
      <c r="U9" s="19">
        <v>2019</v>
      </c>
      <c r="V9" s="19">
        <v>2020</v>
      </c>
      <c r="W9" s="17" t="s">
        <v>46</v>
      </c>
      <c r="X9" s="24"/>
      <c r="Y9" s="23"/>
    </row>
    <row r="10" spans="1:25" s="2" customFormat="1" ht="12.75">
      <c r="A10" s="31"/>
      <c r="B10" s="53" t="s">
        <v>57</v>
      </c>
      <c r="C10" s="145"/>
      <c r="D10" s="149"/>
      <c r="E10" s="163"/>
      <c r="X10" s="9"/>
      <c r="Y10" s="11"/>
    </row>
    <row r="11" spans="1:25" s="2" customFormat="1" ht="12.75">
      <c r="A11" s="31"/>
      <c r="B11" s="103"/>
      <c r="C11" s="145"/>
      <c r="D11" s="149"/>
      <c r="E11" s="163"/>
      <c r="X11" s="9"/>
      <c r="Y11" s="11"/>
    </row>
    <row r="12" spans="1:25" s="2" customFormat="1" ht="12.75">
      <c r="A12" s="31"/>
      <c r="B12" s="72" t="s">
        <v>73</v>
      </c>
      <c r="C12" s="145"/>
      <c r="D12" s="157">
        <v>90</v>
      </c>
      <c r="E12" s="164">
        <v>85.9</v>
      </c>
      <c r="F12" s="12">
        <f aca="true" t="shared" si="1" ref="F12:P12">+E12*(1+F13)</f>
        <v>87.83275</v>
      </c>
      <c r="G12" s="12">
        <f t="shared" si="1"/>
        <v>89.808986875</v>
      </c>
      <c r="H12" s="12">
        <f t="shared" si="1"/>
        <v>91.8296890796875</v>
      </c>
      <c r="I12" s="12">
        <f t="shared" si="1"/>
        <v>93.89585708398046</v>
      </c>
      <c r="J12" s="12">
        <f t="shared" si="1"/>
        <v>96.00851386837002</v>
      </c>
      <c r="K12" s="12">
        <f t="shared" si="1"/>
        <v>98.16870543040834</v>
      </c>
      <c r="L12" s="12">
        <f t="shared" si="1"/>
        <v>100.37750130259252</v>
      </c>
      <c r="M12" s="12">
        <f t="shared" si="1"/>
        <v>102.63599508190084</v>
      </c>
      <c r="N12" s="12">
        <f t="shared" si="1"/>
        <v>104.94530497124362</v>
      </c>
      <c r="O12" s="12">
        <f t="shared" si="1"/>
        <v>107.30657433309659</v>
      </c>
      <c r="P12" s="12">
        <f t="shared" si="1"/>
        <v>109.72097225559126</v>
      </c>
      <c r="Q12" s="12">
        <f>+P12*4</f>
        <v>438.88388902236505</v>
      </c>
      <c r="R12" s="12">
        <f>+Q12*(1+R13)</f>
        <v>504.7164723757198</v>
      </c>
      <c r="S12" s="12">
        <f>+R12*(1+S13)</f>
        <v>580.4239432320777</v>
      </c>
      <c r="T12" s="12">
        <f>+S12*(1+T13)</f>
        <v>667.4875347168893</v>
      </c>
      <c r="U12" s="12">
        <f>+T12*(1+U13)</f>
        <v>767.6106649244226</v>
      </c>
      <c r="V12" s="12">
        <f>+U12*(1+V13)</f>
        <v>882.752264663086</v>
      </c>
      <c r="X12" s="9"/>
      <c r="Y12" s="11"/>
    </row>
    <row r="13" spans="1:25" s="2" customFormat="1" ht="12.75">
      <c r="A13" s="31"/>
      <c r="B13" s="73" t="s">
        <v>76</v>
      </c>
      <c r="C13" s="146"/>
      <c r="D13" s="146"/>
      <c r="E13" s="165"/>
      <c r="F13" s="77">
        <f aca="true" t="shared" si="2" ref="F13:R13">+F5</f>
        <v>0.0225</v>
      </c>
      <c r="G13" s="77">
        <f t="shared" si="2"/>
        <v>0.0225</v>
      </c>
      <c r="H13" s="77">
        <f t="shared" si="2"/>
        <v>0.0225</v>
      </c>
      <c r="I13" s="77">
        <f t="shared" si="2"/>
        <v>0.0225</v>
      </c>
      <c r="J13" s="77">
        <f t="shared" si="2"/>
        <v>0.0225</v>
      </c>
      <c r="K13" s="77">
        <f t="shared" si="2"/>
        <v>0.0225</v>
      </c>
      <c r="L13" s="77">
        <f t="shared" si="2"/>
        <v>0.0225</v>
      </c>
      <c r="M13" s="77">
        <f t="shared" si="2"/>
        <v>0.0225</v>
      </c>
      <c r="N13" s="77">
        <f t="shared" si="2"/>
        <v>0.0225</v>
      </c>
      <c r="O13" s="77">
        <f t="shared" si="2"/>
        <v>0.0225</v>
      </c>
      <c r="P13" s="77">
        <f t="shared" si="2"/>
        <v>0.0225</v>
      </c>
      <c r="Q13" s="77">
        <f t="shared" si="2"/>
        <v>0.15</v>
      </c>
      <c r="R13" s="77">
        <f t="shared" si="2"/>
        <v>0.15</v>
      </c>
      <c r="S13" s="77">
        <f>+S5</f>
        <v>0.15</v>
      </c>
      <c r="T13" s="77">
        <f>+T5</f>
        <v>0.15</v>
      </c>
      <c r="U13" s="77">
        <f>+U5</f>
        <v>0.15</v>
      </c>
      <c r="V13" s="77">
        <f>+V5</f>
        <v>0.15</v>
      </c>
      <c r="X13" s="9"/>
      <c r="Y13" s="11"/>
    </row>
    <row r="14" spans="1:22" s="111" customFormat="1" ht="12.75">
      <c r="A14" s="109"/>
      <c r="B14" s="110" t="s">
        <v>128</v>
      </c>
      <c r="C14" s="107"/>
      <c r="D14" s="107">
        <v>0.394</v>
      </c>
      <c r="E14" s="166">
        <v>0.4</v>
      </c>
      <c r="F14" s="111">
        <f aca="true" t="shared" si="3" ref="F14:R14">+E14</f>
        <v>0.4</v>
      </c>
      <c r="G14" s="111">
        <f t="shared" si="3"/>
        <v>0.4</v>
      </c>
      <c r="H14" s="111">
        <f t="shared" si="3"/>
        <v>0.4</v>
      </c>
      <c r="I14" s="111">
        <f t="shared" si="3"/>
        <v>0.4</v>
      </c>
      <c r="J14" s="111">
        <f t="shared" si="3"/>
        <v>0.4</v>
      </c>
      <c r="K14" s="111">
        <f t="shared" si="3"/>
        <v>0.4</v>
      </c>
      <c r="L14" s="111">
        <f t="shared" si="3"/>
        <v>0.4</v>
      </c>
      <c r="M14" s="111">
        <f t="shared" si="3"/>
        <v>0.4</v>
      </c>
      <c r="N14" s="111">
        <f t="shared" si="3"/>
        <v>0.4</v>
      </c>
      <c r="O14" s="111">
        <f t="shared" si="3"/>
        <v>0.4</v>
      </c>
      <c r="P14" s="111">
        <f t="shared" si="3"/>
        <v>0.4</v>
      </c>
      <c r="Q14" s="111">
        <f t="shared" si="3"/>
        <v>0.4</v>
      </c>
      <c r="R14" s="111">
        <f t="shared" si="3"/>
        <v>0.4</v>
      </c>
      <c r="S14" s="111">
        <f>+R14</f>
        <v>0.4</v>
      </c>
      <c r="T14" s="111">
        <f>+S14</f>
        <v>0.4</v>
      </c>
      <c r="U14" s="111">
        <f>+T14</f>
        <v>0.4</v>
      </c>
      <c r="V14" s="111">
        <f>+U14</f>
        <v>0.4</v>
      </c>
    </row>
    <row r="15" spans="1:25" s="2" customFormat="1" ht="12.75">
      <c r="A15" s="31"/>
      <c r="B15" s="26" t="s">
        <v>75</v>
      </c>
      <c r="C15" s="145"/>
      <c r="D15" s="80">
        <f>+D12*D14</f>
        <v>35.46</v>
      </c>
      <c r="E15" s="188">
        <f>+E12*E14</f>
        <v>34.36000000000001</v>
      </c>
      <c r="F15" s="80">
        <f aca="true" t="shared" si="4" ref="F15:R15">+F12*F14</f>
        <v>35.133100000000006</v>
      </c>
      <c r="G15" s="80">
        <f t="shared" si="4"/>
        <v>35.92359475</v>
      </c>
      <c r="H15" s="80">
        <f t="shared" si="4"/>
        <v>36.731875631875</v>
      </c>
      <c r="I15" s="80">
        <f t="shared" si="4"/>
        <v>37.558342833592185</v>
      </c>
      <c r="J15" s="80">
        <f t="shared" si="4"/>
        <v>38.40340554734801</v>
      </c>
      <c r="K15" s="80">
        <f t="shared" si="4"/>
        <v>39.26748217216334</v>
      </c>
      <c r="L15" s="80">
        <f t="shared" si="4"/>
        <v>40.15100052103701</v>
      </c>
      <c r="M15" s="80">
        <f t="shared" si="4"/>
        <v>41.05439803276034</v>
      </c>
      <c r="N15" s="80">
        <f t="shared" si="4"/>
        <v>41.97812198849745</v>
      </c>
      <c r="O15" s="80">
        <f t="shared" si="4"/>
        <v>42.92262973323864</v>
      </c>
      <c r="P15" s="80">
        <f t="shared" si="4"/>
        <v>43.88838890223651</v>
      </c>
      <c r="Q15" s="80">
        <f t="shared" si="4"/>
        <v>175.55355560894603</v>
      </c>
      <c r="R15" s="80">
        <f t="shared" si="4"/>
        <v>201.88658895028792</v>
      </c>
      <c r="S15" s="80">
        <f>+S12*S14</f>
        <v>232.1695772928311</v>
      </c>
      <c r="T15" s="80">
        <f>+T12*T14</f>
        <v>266.9950138867557</v>
      </c>
      <c r="U15" s="80">
        <f>+U12*U14</f>
        <v>307.04426596976907</v>
      </c>
      <c r="V15" s="80">
        <f>+V12*V14</f>
        <v>353.1009058652344</v>
      </c>
      <c r="X15" s="9"/>
      <c r="Y15" s="11"/>
    </row>
    <row r="16" spans="1:25" s="2" customFormat="1" ht="12.75">
      <c r="A16" s="31"/>
      <c r="B16" s="72"/>
      <c r="C16" s="145"/>
      <c r="D16" s="157"/>
      <c r="E16" s="16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9"/>
      <c r="Y16" s="11"/>
    </row>
    <row r="17" spans="1:25" s="2" customFormat="1" ht="12.75">
      <c r="A17" s="31"/>
      <c r="B17" s="72" t="s">
        <v>74</v>
      </c>
      <c r="C17" s="145"/>
      <c r="D17" s="157">
        <v>223.3</v>
      </c>
      <c r="E17" s="164">
        <f>+E22-E12</f>
        <v>203.20000000000002</v>
      </c>
      <c r="F17" s="12">
        <f aca="true" t="shared" si="5" ref="F17:R17">+E17*(1+F18)</f>
        <v>194.25920000000002</v>
      </c>
      <c r="G17" s="12">
        <f t="shared" si="5"/>
        <v>185.7117952</v>
      </c>
      <c r="H17" s="12">
        <f t="shared" si="5"/>
        <v>177.5404762112</v>
      </c>
      <c r="I17" s="12">
        <f t="shared" si="5"/>
        <v>169.7286952579072</v>
      </c>
      <c r="J17" s="12">
        <f t="shared" si="5"/>
        <v>162.26063266655927</v>
      </c>
      <c r="K17" s="12">
        <f t="shared" si="5"/>
        <v>155.12116482923065</v>
      </c>
      <c r="L17" s="12">
        <f t="shared" si="5"/>
        <v>148.29583357674449</v>
      </c>
      <c r="M17" s="12">
        <f t="shared" si="5"/>
        <v>141.77081689936773</v>
      </c>
      <c r="N17" s="12">
        <f t="shared" si="5"/>
        <v>135.53290095579555</v>
      </c>
      <c r="O17" s="12">
        <f t="shared" si="5"/>
        <v>129.56945331374055</v>
      </c>
      <c r="P17" s="12">
        <f t="shared" si="5"/>
        <v>123.86839736793597</v>
      </c>
      <c r="Q17" s="12">
        <f>+P17*4</f>
        <v>495.4735894717439</v>
      </c>
      <c r="R17" s="12">
        <f t="shared" si="5"/>
        <v>421.1525510509823</v>
      </c>
      <c r="S17" s="12">
        <f>+R17*(1+S18)</f>
        <v>421.1525510509823</v>
      </c>
      <c r="T17" s="12">
        <f>+S17*(1+T18)</f>
        <v>421.1525510509823</v>
      </c>
      <c r="U17" s="12">
        <f>+T17*(1+U18)</f>
        <v>421.1525510509823</v>
      </c>
      <c r="V17" s="12">
        <f>+U17*(1+V18)</f>
        <v>421.1525510509823</v>
      </c>
      <c r="X17" s="9"/>
      <c r="Y17" s="11"/>
    </row>
    <row r="18" spans="1:25" s="2" customFormat="1" ht="12.75">
      <c r="A18" s="31"/>
      <c r="B18" s="73" t="s">
        <v>79</v>
      </c>
      <c r="C18" s="145"/>
      <c r="D18" s="157"/>
      <c r="E18" s="167"/>
      <c r="F18" s="78">
        <f aca="true" t="shared" si="6" ref="F18:R18">+F6</f>
        <v>-0.044</v>
      </c>
      <c r="G18" s="78">
        <f t="shared" si="6"/>
        <v>-0.044</v>
      </c>
      <c r="H18" s="78">
        <f t="shared" si="6"/>
        <v>-0.044</v>
      </c>
      <c r="I18" s="78">
        <f t="shared" si="6"/>
        <v>-0.044</v>
      </c>
      <c r="J18" s="78">
        <f t="shared" si="6"/>
        <v>-0.044</v>
      </c>
      <c r="K18" s="78">
        <f t="shared" si="6"/>
        <v>-0.044</v>
      </c>
      <c r="L18" s="78">
        <f t="shared" si="6"/>
        <v>-0.044</v>
      </c>
      <c r="M18" s="78">
        <f t="shared" si="6"/>
        <v>-0.044</v>
      </c>
      <c r="N18" s="78">
        <f t="shared" si="6"/>
        <v>-0.044</v>
      </c>
      <c r="O18" s="78">
        <f t="shared" si="6"/>
        <v>-0.044</v>
      </c>
      <c r="P18" s="78">
        <f t="shared" si="6"/>
        <v>-0.044</v>
      </c>
      <c r="Q18" s="78">
        <f t="shared" si="6"/>
        <v>-0.15</v>
      </c>
      <c r="R18" s="78">
        <f t="shared" si="6"/>
        <v>-0.15</v>
      </c>
      <c r="S18" s="78">
        <f>+S6</f>
        <v>0</v>
      </c>
      <c r="T18" s="78">
        <f>+T6</f>
        <v>0</v>
      </c>
      <c r="U18" s="78">
        <f>+U6</f>
        <v>0</v>
      </c>
      <c r="V18" s="78">
        <f>+V6</f>
        <v>0</v>
      </c>
      <c r="X18" s="9"/>
      <c r="Y18" s="11"/>
    </row>
    <row r="19" spans="1:23" s="111" customFormat="1" ht="15">
      <c r="A19" s="109"/>
      <c r="B19" s="110" t="s">
        <v>128</v>
      </c>
      <c r="C19" s="147"/>
      <c r="D19" s="107">
        <v>0.5</v>
      </c>
      <c r="E19" s="166">
        <f>55%</f>
        <v>0.55</v>
      </c>
      <c r="F19" s="107">
        <v>0.55</v>
      </c>
      <c r="G19" s="107">
        <v>0.545</v>
      </c>
      <c r="H19" s="107">
        <v>0.54</v>
      </c>
      <c r="I19" s="107">
        <v>0.54</v>
      </c>
      <c r="J19" s="107">
        <v>0.535</v>
      </c>
      <c r="K19" s="107">
        <v>0.53</v>
      </c>
      <c r="L19" s="107">
        <v>0.53</v>
      </c>
      <c r="M19" s="107">
        <v>0.53</v>
      </c>
      <c r="N19" s="107">
        <v>0.53</v>
      </c>
      <c r="O19" s="107">
        <v>0.53</v>
      </c>
      <c r="P19" s="107">
        <v>0.53</v>
      </c>
      <c r="Q19" s="107">
        <v>0.53</v>
      </c>
      <c r="R19" s="107">
        <v>0.53</v>
      </c>
      <c r="S19" s="107">
        <v>0.53</v>
      </c>
      <c r="T19" s="107">
        <v>0.53</v>
      </c>
      <c r="U19" s="107">
        <v>0.53</v>
      </c>
      <c r="V19" s="107">
        <v>0.53</v>
      </c>
      <c r="W19" s="128" t="s">
        <v>111</v>
      </c>
    </row>
    <row r="20" spans="1:25" s="2" customFormat="1" ht="12.75">
      <c r="A20" s="31"/>
      <c r="B20" s="26" t="s">
        <v>77</v>
      </c>
      <c r="C20" s="145"/>
      <c r="D20" s="80">
        <f>+D17*D19</f>
        <v>111.65</v>
      </c>
      <c r="E20" s="188">
        <f>+E17*E19</f>
        <v>111.76000000000002</v>
      </c>
      <c r="F20" s="80">
        <f aca="true" t="shared" si="7" ref="F20:R20">+F17*F19</f>
        <v>106.84256000000002</v>
      </c>
      <c r="G20" s="80">
        <f t="shared" si="7"/>
        <v>101.21292838400001</v>
      </c>
      <c r="H20" s="80">
        <f t="shared" si="7"/>
        <v>95.871857154048</v>
      </c>
      <c r="I20" s="80">
        <f t="shared" si="7"/>
        <v>91.65349543926989</v>
      </c>
      <c r="J20" s="80">
        <f t="shared" si="7"/>
        <v>86.80943847660922</v>
      </c>
      <c r="K20" s="80">
        <f t="shared" si="7"/>
        <v>82.21421735949225</v>
      </c>
      <c r="L20" s="80">
        <f t="shared" si="7"/>
        <v>78.59679179567458</v>
      </c>
      <c r="M20" s="80">
        <f t="shared" si="7"/>
        <v>75.1385329566649</v>
      </c>
      <c r="N20" s="80">
        <f t="shared" si="7"/>
        <v>71.83243750657165</v>
      </c>
      <c r="O20" s="80">
        <f t="shared" si="7"/>
        <v>68.6718102562825</v>
      </c>
      <c r="P20" s="80">
        <f t="shared" si="7"/>
        <v>65.65025060500606</v>
      </c>
      <c r="Q20" s="80">
        <f t="shared" si="7"/>
        <v>262.60100242002426</v>
      </c>
      <c r="R20" s="80">
        <f t="shared" si="7"/>
        <v>223.21085205702065</v>
      </c>
      <c r="S20" s="80">
        <f>+S17*S19</f>
        <v>223.21085205702065</v>
      </c>
      <c r="T20" s="80">
        <f>+T17*T19</f>
        <v>223.21085205702065</v>
      </c>
      <c r="U20" s="80">
        <f>+U17*U19</f>
        <v>223.21085205702065</v>
      </c>
      <c r="V20" s="80">
        <f>+V17*V19</f>
        <v>223.21085205702065</v>
      </c>
      <c r="X20" s="9"/>
      <c r="Y20" s="11"/>
    </row>
    <row r="21" spans="1:25" s="2" customFormat="1" ht="12.75">
      <c r="A21" s="31"/>
      <c r="B21" s="73"/>
      <c r="C21" s="145"/>
      <c r="D21" s="38"/>
      <c r="E21" s="16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9"/>
      <c r="Y21" s="11"/>
    </row>
    <row r="22" spans="1:25" s="2" customFormat="1" ht="12.75">
      <c r="A22" s="31"/>
      <c r="B22" s="73" t="s">
        <v>80</v>
      </c>
      <c r="C22" s="145"/>
      <c r="D22" s="157">
        <f>+D12+D17</f>
        <v>313.3</v>
      </c>
      <c r="E22" s="164">
        <v>289.1</v>
      </c>
      <c r="F22" s="12">
        <f aca="true" t="shared" si="8" ref="F22:R22">+F12+F17</f>
        <v>282.09195</v>
      </c>
      <c r="G22" s="12">
        <f t="shared" si="8"/>
        <v>275.520782075</v>
      </c>
      <c r="H22" s="12">
        <f t="shared" si="8"/>
        <v>269.3701652908875</v>
      </c>
      <c r="I22" s="12">
        <f t="shared" si="8"/>
        <v>263.62455234188764</v>
      </c>
      <c r="J22" s="12">
        <f t="shared" si="8"/>
        <v>258.2691465349293</v>
      </c>
      <c r="K22" s="12">
        <f t="shared" si="8"/>
        <v>253.28987025963897</v>
      </c>
      <c r="L22" s="12">
        <f t="shared" si="8"/>
        <v>248.673334879337</v>
      </c>
      <c r="M22" s="12">
        <f t="shared" si="8"/>
        <v>244.40681198126856</v>
      </c>
      <c r="N22" s="12">
        <f t="shared" si="8"/>
        <v>240.47820592703917</v>
      </c>
      <c r="O22" s="12">
        <f t="shared" si="8"/>
        <v>236.87602764683714</v>
      </c>
      <c r="P22" s="12">
        <f t="shared" si="8"/>
        <v>233.58936962352723</v>
      </c>
      <c r="Q22" s="12">
        <f t="shared" si="8"/>
        <v>934.3574784941089</v>
      </c>
      <c r="R22" s="12">
        <f t="shared" si="8"/>
        <v>925.8690234267021</v>
      </c>
      <c r="S22" s="12">
        <f>+S12+S17</f>
        <v>1001.57649428306</v>
      </c>
      <c r="T22" s="12">
        <f>+T12+T17</f>
        <v>1088.6400857678716</v>
      </c>
      <c r="U22" s="12">
        <f>+U12+U17</f>
        <v>1188.7632159754048</v>
      </c>
      <c r="V22" s="12">
        <f>+V12+V17</f>
        <v>1303.9048157140683</v>
      </c>
      <c r="X22" s="9"/>
      <c r="Y22" s="11"/>
    </row>
    <row r="23" spans="1:25" s="26" customFormat="1" ht="13.5" thickBot="1">
      <c r="A23" s="32" t="s">
        <v>15</v>
      </c>
      <c r="B23" s="32" t="s">
        <v>112</v>
      </c>
      <c r="C23" s="148"/>
      <c r="D23" s="81">
        <f>+D15+D20</f>
        <v>147.11</v>
      </c>
      <c r="E23" s="79">
        <f>+E15+E20</f>
        <v>146.12000000000003</v>
      </c>
      <c r="F23" s="81">
        <f>+F15+F20</f>
        <v>141.97566000000003</v>
      </c>
      <c r="G23" s="81">
        <f aca="true" t="shared" si="9" ref="G23:R23">+G15+G20</f>
        <v>137.13652313400002</v>
      </c>
      <c r="H23" s="81">
        <f t="shared" si="9"/>
        <v>132.603732785923</v>
      </c>
      <c r="I23" s="81">
        <f t="shared" si="9"/>
        <v>129.21183827286208</v>
      </c>
      <c r="J23" s="81">
        <f t="shared" si="9"/>
        <v>125.21284402395722</v>
      </c>
      <c r="K23" s="81">
        <f t="shared" si="9"/>
        <v>121.4816995316556</v>
      </c>
      <c r="L23" s="81">
        <f t="shared" si="9"/>
        <v>118.74779231671158</v>
      </c>
      <c r="M23" s="81">
        <f t="shared" si="9"/>
        <v>116.19293098942524</v>
      </c>
      <c r="N23" s="81">
        <f t="shared" si="9"/>
        <v>113.8105594950691</v>
      </c>
      <c r="O23" s="81">
        <f t="shared" si="9"/>
        <v>111.59443998952113</v>
      </c>
      <c r="P23" s="81">
        <f t="shared" si="9"/>
        <v>109.53863950724258</v>
      </c>
      <c r="Q23" s="81">
        <f t="shared" si="9"/>
        <v>438.1545580289703</v>
      </c>
      <c r="R23" s="81">
        <f t="shared" si="9"/>
        <v>425.0974410073086</v>
      </c>
      <c r="S23" s="81">
        <f>+S15+S20</f>
        <v>455.38042934985174</v>
      </c>
      <c r="T23" s="81">
        <f>+T15+T20</f>
        <v>490.20586594377636</v>
      </c>
      <c r="U23" s="81">
        <f>+U15+U20</f>
        <v>530.2551180267897</v>
      </c>
      <c r="V23" s="81">
        <f>+V15+V20</f>
        <v>576.3117579222551</v>
      </c>
      <c r="X23" s="28"/>
      <c r="Y23" s="29"/>
    </row>
    <row r="24" spans="1:25" s="26" customFormat="1" ht="13.5" thickTop="1">
      <c r="A24" s="32"/>
      <c r="B24" s="26" t="s">
        <v>81</v>
      </c>
      <c r="C24" s="148"/>
      <c r="D24" s="83">
        <f>+D23/D22</f>
        <v>0.4695499521225663</v>
      </c>
      <c r="E24" s="169">
        <f>+E23/E22</f>
        <v>0.5054306468350053</v>
      </c>
      <c r="F24" s="83">
        <f>+F23/F22</f>
        <v>0.5032956807168728</v>
      </c>
      <c r="G24" s="83">
        <f aca="true" t="shared" si="10" ref="G24:R24">+G23/G22</f>
        <v>0.4977356775093279</v>
      </c>
      <c r="H24" s="83">
        <f t="shared" si="10"/>
        <v>0.49227327251600733</v>
      </c>
      <c r="I24" s="83">
        <f t="shared" si="10"/>
        <v>0.4901358281124389</v>
      </c>
      <c r="J24" s="83">
        <f t="shared" si="10"/>
        <v>0.48481533974877233</v>
      </c>
      <c r="K24" s="83">
        <f t="shared" si="10"/>
        <v>0.4796153095547357</v>
      </c>
      <c r="L24" s="83">
        <f t="shared" si="10"/>
        <v>0.4775252335532123</v>
      </c>
      <c r="M24" s="83">
        <f t="shared" si="10"/>
        <v>0.47540790719994463</v>
      </c>
      <c r="N24" s="83">
        <f t="shared" si="10"/>
        <v>0.47326766704837736</v>
      </c>
      <c r="O24" s="83">
        <f t="shared" si="10"/>
        <v>0.4711090484677468</v>
      </c>
      <c r="P24" s="83">
        <f t="shared" si="10"/>
        <v>0.4689367486362264</v>
      </c>
      <c r="Q24" s="83">
        <f t="shared" si="10"/>
        <v>0.4689367486362264</v>
      </c>
      <c r="R24" s="83">
        <f t="shared" si="10"/>
        <v>0.45913345219607304</v>
      </c>
      <c r="S24" s="83">
        <f>+S23/S22</f>
        <v>0.45466365469750597</v>
      </c>
      <c r="T24" s="83">
        <f>+T23/T22</f>
        <v>0.450291948966779</v>
      </c>
      <c r="U24" s="83">
        <f>+U23/U22</f>
        <v>0.4460561286729455</v>
      </c>
      <c r="V24" s="83">
        <f>+V23/V22</f>
        <v>0.44198913216425595</v>
      </c>
      <c r="X24" s="28"/>
      <c r="Y24" s="29"/>
    </row>
    <row r="25" spans="1:25" s="2" customFormat="1" ht="12.75">
      <c r="A25" s="31"/>
      <c r="B25" s="103"/>
      <c r="C25" s="145"/>
      <c r="D25" s="149"/>
      <c r="E25" s="163"/>
      <c r="X25" s="9"/>
      <c r="Y25" s="11"/>
    </row>
    <row r="26" spans="1:25" s="26" customFormat="1" ht="12.75">
      <c r="A26" s="32"/>
      <c r="B26" s="25"/>
      <c r="C26" s="148"/>
      <c r="D26" s="38"/>
      <c r="E26" s="16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X26" s="28"/>
      <c r="Y26" s="29"/>
    </row>
    <row r="27" spans="1:25" s="2" customFormat="1" ht="12.75">
      <c r="A27" s="31"/>
      <c r="B27" s="53" t="s">
        <v>47</v>
      </c>
      <c r="C27" s="149"/>
      <c r="D27" s="157"/>
      <c r="E27" s="16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9"/>
      <c r="Y27" s="11"/>
    </row>
    <row r="28" spans="1:25" s="2" customFormat="1" ht="12.75">
      <c r="A28" s="31"/>
      <c r="B28" s="25" t="s">
        <v>17</v>
      </c>
      <c r="C28" s="149"/>
      <c r="D28" s="157"/>
      <c r="E28" s="16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X28" s="9"/>
      <c r="Y28" s="11"/>
    </row>
    <row r="29" spans="1:25" s="2" customFormat="1" ht="12.75">
      <c r="A29" s="31"/>
      <c r="B29" s="1" t="s">
        <v>89</v>
      </c>
      <c r="C29" s="149"/>
      <c r="D29" s="157">
        <f>266*0.05/4</f>
        <v>3.325</v>
      </c>
      <c r="E29" s="164">
        <v>2.07</v>
      </c>
      <c r="F29" s="12">
        <v>1.7825</v>
      </c>
      <c r="G29" s="12">
        <v>1.495</v>
      </c>
      <c r="H29" s="12">
        <v>1.2075</v>
      </c>
      <c r="I29" s="12">
        <v>0.92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X29" s="9"/>
      <c r="Y29" s="11"/>
    </row>
    <row r="30" spans="1:25" s="2" customFormat="1" ht="12.75">
      <c r="A30" s="31"/>
      <c r="B30" s="1" t="s">
        <v>90</v>
      </c>
      <c r="C30" s="149"/>
      <c r="D30" s="157"/>
      <c r="E30" s="164">
        <f>+Y68/4</f>
        <v>2.629</v>
      </c>
      <c r="F30" s="12">
        <f>+E30</f>
        <v>2.629</v>
      </c>
      <c r="G30" s="12">
        <f>+F30</f>
        <v>2.629</v>
      </c>
      <c r="H30" s="12">
        <f>+G30</f>
        <v>2.629</v>
      </c>
      <c r="I30" s="12">
        <f>+H30*0.5</f>
        <v>1.3145</v>
      </c>
      <c r="J30" s="12"/>
      <c r="K30" s="12"/>
      <c r="L30" s="12"/>
      <c r="M30" s="27">
        <v>1.65</v>
      </c>
      <c r="N30" s="27">
        <v>1.65</v>
      </c>
      <c r="O30" s="27">
        <v>1.65</v>
      </c>
      <c r="P30" s="27">
        <v>1.65</v>
      </c>
      <c r="Q30" s="12"/>
      <c r="R30" s="12"/>
      <c r="S30" s="12"/>
      <c r="T30" s="12"/>
      <c r="U30" s="12"/>
      <c r="V30" s="12"/>
      <c r="X30" s="9"/>
      <c r="Y30" s="11"/>
    </row>
    <row r="31" spans="1:25" s="2" customFormat="1" ht="12.75">
      <c r="A31" s="31"/>
      <c r="B31" s="1" t="s">
        <v>25</v>
      </c>
      <c r="C31" s="187" t="s">
        <v>65</v>
      </c>
      <c r="D31" s="157"/>
      <c r="E31" s="16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31" s="9"/>
      <c r="Y31" s="11"/>
    </row>
    <row r="32" spans="1:25" s="2" customFormat="1" ht="12.75">
      <c r="A32" s="31"/>
      <c r="B32" s="1" t="s">
        <v>34</v>
      </c>
      <c r="C32" s="149"/>
      <c r="D32" s="157">
        <f aca="true" t="shared" si="11" ref="D32:K32">+$Y71/4</f>
        <v>2.875</v>
      </c>
      <c r="E32" s="164">
        <f t="shared" si="11"/>
        <v>2.875</v>
      </c>
      <c r="F32" s="12">
        <f t="shared" si="11"/>
        <v>2.875</v>
      </c>
      <c r="G32" s="12">
        <f t="shared" si="11"/>
        <v>2.875</v>
      </c>
      <c r="H32" s="12">
        <f t="shared" si="11"/>
        <v>2.875</v>
      </c>
      <c r="I32" s="12">
        <f t="shared" si="11"/>
        <v>2.875</v>
      </c>
      <c r="J32" s="12">
        <f t="shared" si="11"/>
        <v>2.875</v>
      </c>
      <c r="K32" s="12">
        <f t="shared" si="11"/>
        <v>2.875</v>
      </c>
      <c r="L32" s="127">
        <v>0.9</v>
      </c>
      <c r="M32" s="127">
        <f>+$Y71/4*0</f>
        <v>0</v>
      </c>
      <c r="N32" s="127">
        <f>+M32</f>
        <v>0</v>
      </c>
      <c r="O32" s="127">
        <f>+N32</f>
        <v>0</v>
      </c>
      <c r="P32" s="127">
        <f>+O32</f>
        <v>0</v>
      </c>
      <c r="Q32" s="127">
        <f>+P32*4</f>
        <v>0</v>
      </c>
      <c r="R32" s="127">
        <f>+Q32</f>
        <v>0</v>
      </c>
      <c r="S32" s="127">
        <f>+R32</f>
        <v>0</v>
      </c>
      <c r="T32" s="127">
        <f>+S32</f>
        <v>0</v>
      </c>
      <c r="U32" s="127">
        <f>+T32</f>
        <v>0</v>
      </c>
      <c r="V32" s="127">
        <f>+U32</f>
        <v>0</v>
      </c>
      <c r="X32" s="9"/>
      <c r="Y32" s="11"/>
    </row>
    <row r="33" spans="1:25" s="2" customFormat="1" ht="12.75">
      <c r="A33" s="31"/>
      <c r="B33" s="1" t="s">
        <v>14</v>
      </c>
      <c r="C33" s="149"/>
      <c r="D33" s="157"/>
      <c r="E33" s="16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X33" s="9"/>
      <c r="Y33" s="11"/>
    </row>
    <row r="34" spans="1:25" s="2" customFormat="1" ht="12.75">
      <c r="A34" s="31"/>
      <c r="B34" s="7" t="s">
        <v>27</v>
      </c>
      <c r="C34" s="149"/>
      <c r="D34" s="157">
        <f aca="true" t="shared" si="12" ref="D34:P41">+$Y73/4</f>
        <v>2.1125000000000003</v>
      </c>
      <c r="E34" s="164">
        <f t="shared" si="12"/>
        <v>2.1125000000000003</v>
      </c>
      <c r="F34" s="12">
        <f t="shared" si="12"/>
        <v>2.1125000000000003</v>
      </c>
      <c r="G34" s="12">
        <f t="shared" si="12"/>
        <v>2.1125000000000003</v>
      </c>
      <c r="H34" s="12">
        <f t="shared" si="12"/>
        <v>2.1125000000000003</v>
      </c>
      <c r="I34" s="12">
        <f t="shared" si="12"/>
        <v>2.1125000000000003</v>
      </c>
      <c r="J34" s="12">
        <f t="shared" si="12"/>
        <v>2.1125000000000003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X34" s="9"/>
      <c r="Y34" s="11"/>
    </row>
    <row r="35" spans="1:25" s="2" customFormat="1" ht="12.75">
      <c r="A35" s="31"/>
      <c r="B35" s="1" t="s">
        <v>26</v>
      </c>
      <c r="C35" s="149"/>
      <c r="D35" s="157">
        <f t="shared" si="12"/>
        <v>2.140625</v>
      </c>
      <c r="E35" s="164">
        <f t="shared" si="12"/>
        <v>2.140625</v>
      </c>
      <c r="F35" s="12">
        <f t="shared" si="12"/>
        <v>2.140625</v>
      </c>
      <c r="G35" s="12">
        <f t="shared" si="12"/>
        <v>2.140625</v>
      </c>
      <c r="H35" s="12">
        <f t="shared" si="12"/>
        <v>2.140625</v>
      </c>
      <c r="I35" s="12">
        <f t="shared" si="12"/>
        <v>2.140625</v>
      </c>
      <c r="J35" s="12">
        <f t="shared" si="12"/>
        <v>2.140625</v>
      </c>
      <c r="K35" s="12">
        <f t="shared" si="12"/>
        <v>2.140625</v>
      </c>
      <c r="L35" s="12">
        <f t="shared" si="12"/>
        <v>2.140625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X35" s="9"/>
      <c r="Y35" s="11"/>
    </row>
    <row r="36" spans="1:25" s="2" customFormat="1" ht="12.75">
      <c r="A36" s="31"/>
      <c r="B36" s="1" t="s">
        <v>28</v>
      </c>
      <c r="C36" s="149"/>
      <c r="D36" s="157">
        <f t="shared" si="12"/>
        <v>3.640125</v>
      </c>
      <c r="E36" s="164">
        <f t="shared" si="12"/>
        <v>3.640125</v>
      </c>
      <c r="F36" s="12">
        <f t="shared" si="12"/>
        <v>3.640125</v>
      </c>
      <c r="G36" s="12">
        <f t="shared" si="12"/>
        <v>3.640125</v>
      </c>
      <c r="H36" s="12">
        <f t="shared" si="12"/>
        <v>3.640125</v>
      </c>
      <c r="I36" s="12">
        <f t="shared" si="12"/>
        <v>3.640125</v>
      </c>
      <c r="J36" s="12">
        <f t="shared" si="12"/>
        <v>3.640125</v>
      </c>
      <c r="K36" s="12">
        <f t="shared" si="12"/>
        <v>3.640125</v>
      </c>
      <c r="L36" s="12">
        <f t="shared" si="12"/>
        <v>3.640125</v>
      </c>
      <c r="M36" s="12">
        <f t="shared" si="12"/>
        <v>3.640125</v>
      </c>
      <c r="N36" s="12"/>
      <c r="O36" s="12"/>
      <c r="P36" s="12"/>
      <c r="Q36" s="12"/>
      <c r="R36" s="12"/>
      <c r="S36" s="12"/>
      <c r="T36" s="12"/>
      <c r="U36" s="12"/>
      <c r="V36" s="12"/>
      <c r="X36" s="9"/>
      <c r="Y36" s="11"/>
    </row>
    <row r="37" spans="1:25" s="2" customFormat="1" ht="12.75">
      <c r="A37" s="31"/>
      <c r="B37" s="1" t="s">
        <v>29</v>
      </c>
      <c r="C37" s="149"/>
      <c r="D37" s="157">
        <f t="shared" si="12"/>
        <v>2.5185</v>
      </c>
      <c r="E37" s="164">
        <f t="shared" si="12"/>
        <v>2.5185</v>
      </c>
      <c r="F37" s="12">
        <f t="shared" si="12"/>
        <v>2.5185</v>
      </c>
      <c r="G37" s="12">
        <f t="shared" si="12"/>
        <v>2.5185</v>
      </c>
      <c r="H37" s="12">
        <f t="shared" si="12"/>
        <v>2.5185</v>
      </c>
      <c r="I37" s="12">
        <f t="shared" si="12"/>
        <v>2.5185</v>
      </c>
      <c r="J37" s="12">
        <f t="shared" si="12"/>
        <v>2.5185</v>
      </c>
      <c r="K37" s="12">
        <f t="shared" si="12"/>
        <v>2.5185</v>
      </c>
      <c r="L37" s="12">
        <f t="shared" si="12"/>
        <v>2.5185</v>
      </c>
      <c r="M37" s="12">
        <f t="shared" si="12"/>
        <v>2.5185</v>
      </c>
      <c r="N37" s="12">
        <f t="shared" si="12"/>
        <v>2.5185</v>
      </c>
      <c r="O37" s="12">
        <f t="shared" si="12"/>
        <v>2.5185</v>
      </c>
      <c r="P37" s="12">
        <f t="shared" si="12"/>
        <v>2.5185</v>
      </c>
      <c r="Q37" s="12">
        <v>1.5</v>
      </c>
      <c r="R37" s="12"/>
      <c r="S37" s="12"/>
      <c r="T37" s="12"/>
      <c r="U37" s="12"/>
      <c r="V37" s="12"/>
      <c r="X37" s="9"/>
      <c r="Y37" s="11"/>
    </row>
    <row r="38" spans="1:25" s="2" customFormat="1" ht="12.75">
      <c r="A38" s="31"/>
      <c r="B38" s="1" t="s">
        <v>30</v>
      </c>
      <c r="C38" s="149"/>
      <c r="D38" s="157">
        <f t="shared" si="12"/>
        <v>4.2</v>
      </c>
      <c r="E38" s="164">
        <f t="shared" si="12"/>
        <v>4.2</v>
      </c>
      <c r="F38" s="12">
        <f t="shared" si="12"/>
        <v>4.2</v>
      </c>
      <c r="G38" s="12">
        <f t="shared" si="12"/>
        <v>4.2</v>
      </c>
      <c r="H38" s="12">
        <f t="shared" si="12"/>
        <v>4.2</v>
      </c>
      <c r="I38" s="12">
        <f t="shared" si="12"/>
        <v>4.2</v>
      </c>
      <c r="J38" s="12">
        <f t="shared" si="12"/>
        <v>4.2</v>
      </c>
      <c r="K38" s="12">
        <f t="shared" si="12"/>
        <v>4.2</v>
      </c>
      <c r="L38" s="12">
        <f t="shared" si="12"/>
        <v>4.2</v>
      </c>
      <c r="M38" s="12">
        <f t="shared" si="12"/>
        <v>4.2</v>
      </c>
      <c r="N38" s="12">
        <f t="shared" si="12"/>
        <v>4.2</v>
      </c>
      <c r="O38" s="12">
        <f t="shared" si="12"/>
        <v>4.2</v>
      </c>
      <c r="P38" s="12">
        <f t="shared" si="12"/>
        <v>4.2</v>
      </c>
      <c r="Q38" s="12">
        <f>+P38*4</f>
        <v>16.8</v>
      </c>
      <c r="R38" s="12">
        <f>+Q38/6</f>
        <v>2.8000000000000003</v>
      </c>
      <c r="S38" s="12"/>
      <c r="T38" s="12"/>
      <c r="U38" s="12"/>
      <c r="V38" s="12"/>
      <c r="X38" s="9"/>
      <c r="Y38" s="11"/>
    </row>
    <row r="39" spans="1:25" s="2" customFormat="1" ht="12.75">
      <c r="A39" s="31"/>
      <c r="B39" s="1" t="s">
        <v>31</v>
      </c>
      <c r="C39" s="149"/>
      <c r="D39" s="157">
        <f t="shared" si="12"/>
        <v>1.769625</v>
      </c>
      <c r="E39" s="164">
        <f t="shared" si="12"/>
        <v>1.769625</v>
      </c>
      <c r="F39" s="12">
        <f t="shared" si="12"/>
        <v>1.769625</v>
      </c>
      <c r="G39" s="12">
        <f t="shared" si="12"/>
        <v>1.769625</v>
      </c>
      <c r="H39" s="12">
        <f t="shared" si="12"/>
        <v>1.769625</v>
      </c>
      <c r="I39" s="12">
        <f t="shared" si="12"/>
        <v>1.769625</v>
      </c>
      <c r="J39" s="12">
        <f t="shared" si="12"/>
        <v>1.769625</v>
      </c>
      <c r="K39" s="12">
        <f t="shared" si="12"/>
        <v>1.769625</v>
      </c>
      <c r="L39" s="12">
        <f t="shared" si="12"/>
        <v>1.769625</v>
      </c>
      <c r="M39" s="12">
        <f t="shared" si="12"/>
        <v>1.769625</v>
      </c>
      <c r="N39" s="12">
        <f t="shared" si="12"/>
        <v>1.769625</v>
      </c>
      <c r="O39" s="12">
        <f t="shared" si="12"/>
        <v>1.769625</v>
      </c>
      <c r="P39" s="12">
        <f t="shared" si="12"/>
        <v>1.769625</v>
      </c>
      <c r="Q39" s="12">
        <f>+P39*4</f>
        <v>7.0785</v>
      </c>
      <c r="R39" s="12">
        <f aca="true" t="shared" si="13" ref="R39:T41">+Q39</f>
        <v>7.0785</v>
      </c>
      <c r="S39" s="12">
        <f t="shared" si="13"/>
        <v>7.0785</v>
      </c>
      <c r="T39" s="12">
        <f t="shared" si="13"/>
        <v>7.0785</v>
      </c>
      <c r="U39" s="12">
        <f>+T39*0.9</f>
        <v>6.37065</v>
      </c>
      <c r="V39" s="12"/>
      <c r="X39" s="9"/>
      <c r="Y39" s="11"/>
    </row>
    <row r="40" spans="1:25" s="2" customFormat="1" ht="12.75">
      <c r="A40" s="31"/>
      <c r="B40" s="1" t="s">
        <v>32</v>
      </c>
      <c r="C40" s="149"/>
      <c r="D40" s="157">
        <f t="shared" si="12"/>
        <v>5.8125</v>
      </c>
      <c r="E40" s="164">
        <f t="shared" si="12"/>
        <v>5.8125</v>
      </c>
      <c r="F40" s="12">
        <f t="shared" si="12"/>
        <v>5.8125</v>
      </c>
      <c r="G40" s="12">
        <f t="shared" si="12"/>
        <v>5.8125</v>
      </c>
      <c r="H40" s="12">
        <f t="shared" si="12"/>
        <v>5.8125</v>
      </c>
      <c r="I40" s="12">
        <f t="shared" si="12"/>
        <v>5.8125</v>
      </c>
      <c r="J40" s="12">
        <f t="shared" si="12"/>
        <v>5.8125</v>
      </c>
      <c r="K40" s="12">
        <f t="shared" si="12"/>
        <v>5.8125</v>
      </c>
      <c r="L40" s="12">
        <f t="shared" si="12"/>
        <v>5.8125</v>
      </c>
      <c r="M40" s="12">
        <f t="shared" si="12"/>
        <v>5.8125</v>
      </c>
      <c r="N40" s="12">
        <f t="shared" si="12"/>
        <v>5.8125</v>
      </c>
      <c r="O40" s="12">
        <f t="shared" si="12"/>
        <v>5.8125</v>
      </c>
      <c r="P40" s="12">
        <f t="shared" si="12"/>
        <v>5.8125</v>
      </c>
      <c r="Q40" s="12">
        <f>+P40*4</f>
        <v>23.25</v>
      </c>
      <c r="R40" s="12">
        <f t="shared" si="13"/>
        <v>23.25</v>
      </c>
      <c r="S40" s="12">
        <f t="shared" si="13"/>
        <v>23.25</v>
      </c>
      <c r="T40" s="12">
        <f t="shared" si="13"/>
        <v>23.25</v>
      </c>
      <c r="U40" s="12">
        <f>+T40</f>
        <v>23.25</v>
      </c>
      <c r="V40" s="12">
        <f>+U40*0.25</f>
        <v>5.8125</v>
      </c>
      <c r="X40" s="9"/>
      <c r="Y40" s="11"/>
    </row>
    <row r="41" spans="1:25" s="2" customFormat="1" ht="12.75">
      <c r="A41" s="31"/>
      <c r="B41" s="1" t="s">
        <v>33</v>
      </c>
      <c r="C41" s="149"/>
      <c r="D41" s="157">
        <f t="shared" si="12"/>
        <v>0.265625</v>
      </c>
      <c r="E41" s="164">
        <f t="shared" si="12"/>
        <v>0.265625</v>
      </c>
      <c r="F41" s="12">
        <f t="shared" si="12"/>
        <v>0.265625</v>
      </c>
      <c r="G41" s="12">
        <f t="shared" si="12"/>
        <v>0.265625</v>
      </c>
      <c r="H41" s="12">
        <f t="shared" si="12"/>
        <v>0.265625</v>
      </c>
      <c r="I41" s="12">
        <f t="shared" si="12"/>
        <v>0.265625</v>
      </c>
      <c r="J41" s="12">
        <f t="shared" si="12"/>
        <v>0.265625</v>
      </c>
      <c r="K41" s="12">
        <f t="shared" si="12"/>
        <v>0.265625</v>
      </c>
      <c r="L41" s="12">
        <f t="shared" si="12"/>
        <v>0.265625</v>
      </c>
      <c r="M41" s="12">
        <f t="shared" si="12"/>
        <v>0.265625</v>
      </c>
      <c r="N41" s="12">
        <f t="shared" si="12"/>
        <v>0.265625</v>
      </c>
      <c r="O41" s="12">
        <f t="shared" si="12"/>
        <v>0.265625</v>
      </c>
      <c r="P41" s="12">
        <f t="shared" si="12"/>
        <v>0.265625</v>
      </c>
      <c r="Q41" s="12">
        <f>+P41*4</f>
        <v>1.0625</v>
      </c>
      <c r="R41" s="12">
        <f t="shared" si="13"/>
        <v>1.0625</v>
      </c>
      <c r="S41" s="12">
        <f t="shared" si="13"/>
        <v>1.0625</v>
      </c>
      <c r="T41" s="12">
        <f t="shared" si="13"/>
        <v>1.0625</v>
      </c>
      <c r="U41" s="12">
        <f>+T41</f>
        <v>1.0625</v>
      </c>
      <c r="V41" s="12">
        <f>+U41</f>
        <v>1.0625</v>
      </c>
      <c r="X41" s="9"/>
      <c r="Y41" s="11"/>
    </row>
    <row r="42" spans="1:25" s="2" customFormat="1" ht="12.75">
      <c r="A42" s="31"/>
      <c r="B42" s="19" t="s">
        <v>101</v>
      </c>
      <c r="C42" s="149"/>
      <c r="D42" s="157">
        <f>35.6-28.7</f>
        <v>6.900000000000002</v>
      </c>
      <c r="E42" s="164">
        <f>32.9-30</f>
        <v>2.8999999999999986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X42" s="9"/>
      <c r="Y42" s="11"/>
    </row>
    <row r="43" spans="1:25" s="2" customFormat="1" ht="12.75">
      <c r="A43" s="31"/>
      <c r="B43" s="19"/>
      <c r="C43" s="149"/>
      <c r="D43" s="157"/>
      <c r="E43" s="16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43" s="9"/>
      <c r="Y43" s="11"/>
    </row>
    <row r="44" spans="1:25" s="2" customFormat="1" ht="12.75">
      <c r="A44" s="31" t="s">
        <v>125</v>
      </c>
      <c r="B44" s="19" t="s">
        <v>121</v>
      </c>
      <c r="C44" s="149"/>
      <c r="D44" s="157"/>
      <c r="E44" s="164">
        <v>1.9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X44" s="9"/>
      <c r="Y44" s="11"/>
    </row>
    <row r="45" spans="1:25" s="2" customFormat="1" ht="12.75">
      <c r="A45" s="31"/>
      <c r="B45" s="25"/>
      <c r="C45" s="149"/>
      <c r="D45" s="157"/>
      <c r="E45" s="16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X45" s="9"/>
      <c r="Y45" s="11"/>
    </row>
    <row r="46" spans="1:25" s="2" customFormat="1" ht="12.75">
      <c r="A46" s="31"/>
      <c r="B46" s="25" t="s">
        <v>123</v>
      </c>
      <c r="C46" s="149"/>
      <c r="D46" s="157">
        <v>27.3</v>
      </c>
      <c r="E46" s="178">
        <v>29.8</v>
      </c>
      <c r="F46" s="12">
        <f>+(125-$E$46)/3</f>
        <v>31.733333333333334</v>
      </c>
      <c r="G46" s="12">
        <f aca="true" t="shared" si="14" ref="G46:P46">+F46</f>
        <v>31.733333333333334</v>
      </c>
      <c r="H46" s="12">
        <f t="shared" si="14"/>
        <v>31.733333333333334</v>
      </c>
      <c r="I46" s="12">
        <v>35</v>
      </c>
      <c r="J46" s="12">
        <f t="shared" si="14"/>
        <v>35</v>
      </c>
      <c r="K46" s="12">
        <f t="shared" si="14"/>
        <v>35</v>
      </c>
      <c r="L46" s="12">
        <f t="shared" si="14"/>
        <v>35</v>
      </c>
      <c r="M46" s="12">
        <f t="shared" si="14"/>
        <v>35</v>
      </c>
      <c r="N46" s="12">
        <f t="shared" si="14"/>
        <v>35</v>
      </c>
      <c r="O46" s="12">
        <f t="shared" si="14"/>
        <v>35</v>
      </c>
      <c r="P46" s="12">
        <f t="shared" si="14"/>
        <v>35</v>
      </c>
      <c r="Q46" s="12">
        <f>+P46*4</f>
        <v>140</v>
      </c>
      <c r="R46" s="12">
        <f>+Q46</f>
        <v>140</v>
      </c>
      <c r="S46" s="12">
        <f>+R46</f>
        <v>140</v>
      </c>
      <c r="T46" s="12">
        <f>+S46</f>
        <v>140</v>
      </c>
      <c r="U46" s="12">
        <f>+T46</f>
        <v>140</v>
      </c>
      <c r="V46" s="12">
        <f>+U46</f>
        <v>140</v>
      </c>
      <c r="X46" s="9"/>
      <c r="Y46" s="11"/>
    </row>
    <row r="47" spans="1:25" s="2" customFormat="1" ht="12.75">
      <c r="A47" s="31"/>
      <c r="C47" s="149"/>
      <c r="D47" s="157"/>
      <c r="E47" s="16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X47" s="9"/>
      <c r="Y47" s="11"/>
    </row>
    <row r="48" spans="1:25" s="2" customFormat="1" ht="12.75">
      <c r="A48" s="31"/>
      <c r="B48" s="25" t="s">
        <v>71</v>
      </c>
      <c r="C48" s="149"/>
      <c r="D48" s="157">
        <v>14.7</v>
      </c>
      <c r="E48" s="164">
        <v>8.2</v>
      </c>
      <c r="F48" s="12">
        <v>12.5</v>
      </c>
      <c r="G48" s="12">
        <f aca="true" t="shared" si="15" ref="G48:P48">+F48</f>
        <v>12.5</v>
      </c>
      <c r="H48" s="12">
        <f t="shared" si="15"/>
        <v>12.5</v>
      </c>
      <c r="I48" s="12">
        <f t="shared" si="15"/>
        <v>12.5</v>
      </c>
      <c r="J48" s="12">
        <f t="shared" si="15"/>
        <v>12.5</v>
      </c>
      <c r="K48" s="12">
        <f t="shared" si="15"/>
        <v>12.5</v>
      </c>
      <c r="L48" s="12">
        <f t="shared" si="15"/>
        <v>12.5</v>
      </c>
      <c r="M48" s="12">
        <f t="shared" si="15"/>
        <v>12.5</v>
      </c>
      <c r="N48" s="12">
        <f t="shared" si="15"/>
        <v>12.5</v>
      </c>
      <c r="O48" s="12">
        <f t="shared" si="15"/>
        <v>12.5</v>
      </c>
      <c r="P48" s="12">
        <f t="shared" si="15"/>
        <v>12.5</v>
      </c>
      <c r="Q48" s="12">
        <f>+P48*4</f>
        <v>50</v>
      </c>
      <c r="R48" s="12">
        <f>+Q48</f>
        <v>50</v>
      </c>
      <c r="S48" s="12">
        <f>+R48</f>
        <v>50</v>
      </c>
      <c r="T48" s="12">
        <f>+S48</f>
        <v>50</v>
      </c>
      <c r="U48" s="12">
        <f>+T48</f>
        <v>50</v>
      </c>
      <c r="V48" s="12">
        <f>+U48</f>
        <v>50</v>
      </c>
      <c r="X48" s="9"/>
      <c r="Y48" s="11"/>
    </row>
    <row r="49" spans="1:25" s="2" customFormat="1" ht="12.75">
      <c r="A49" s="31" t="s">
        <v>125</v>
      </c>
      <c r="B49" s="25" t="s">
        <v>122</v>
      </c>
      <c r="C49" s="149"/>
      <c r="D49" s="157">
        <v>0</v>
      </c>
      <c r="E49" s="164">
        <v>13.036</v>
      </c>
      <c r="F49" s="12">
        <v>0</v>
      </c>
      <c r="G49" s="12">
        <v>0</v>
      </c>
      <c r="H49" s="12">
        <v>0</v>
      </c>
      <c r="I49" s="27">
        <v>13</v>
      </c>
      <c r="J49" s="12">
        <v>0</v>
      </c>
      <c r="K49" s="12">
        <v>0</v>
      </c>
      <c r="L49" s="12">
        <v>0</v>
      </c>
      <c r="M49" s="27">
        <v>13</v>
      </c>
      <c r="N49" s="12">
        <v>0</v>
      </c>
      <c r="O49" s="12">
        <v>0</v>
      </c>
      <c r="P49" s="12">
        <v>0</v>
      </c>
      <c r="Q49" s="27">
        <v>13</v>
      </c>
      <c r="R49" s="27">
        <v>13</v>
      </c>
      <c r="S49" s="12">
        <v>0</v>
      </c>
      <c r="T49" s="12">
        <v>0</v>
      </c>
      <c r="U49" s="12">
        <v>0</v>
      </c>
      <c r="V49" s="12">
        <v>0</v>
      </c>
      <c r="X49" s="9"/>
      <c r="Y49" s="11"/>
    </row>
    <row r="50" spans="1:25" s="2" customFormat="1" ht="12.75">
      <c r="A50" s="31" t="s">
        <v>125</v>
      </c>
      <c r="B50" s="25" t="s">
        <v>124</v>
      </c>
      <c r="C50" s="149"/>
      <c r="D50" s="157"/>
      <c r="E50" s="164">
        <f>42.736+(315.3-310.1)</f>
        <v>47.935999999999986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X50" s="9"/>
      <c r="Y50" s="11"/>
    </row>
    <row r="51" spans="1:25" s="2" customFormat="1" ht="12.75">
      <c r="A51" s="31"/>
      <c r="C51" s="149"/>
      <c r="D51" s="157"/>
      <c r="E51" s="16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X51" s="9"/>
      <c r="Y51" s="11"/>
    </row>
    <row r="52" spans="1:25" s="2" customFormat="1" ht="12.75">
      <c r="A52" s="31"/>
      <c r="B52" s="25" t="s">
        <v>102</v>
      </c>
      <c r="C52" s="149"/>
      <c r="D52" s="157">
        <v>2.9</v>
      </c>
      <c r="E52" s="164"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X52" s="9"/>
      <c r="Y52" s="11"/>
    </row>
    <row r="53" spans="1:25" s="2" customFormat="1" ht="12.75">
      <c r="A53" s="31"/>
      <c r="B53" s="2" t="s">
        <v>103</v>
      </c>
      <c r="C53" s="149"/>
      <c r="D53" s="157">
        <v>0.5</v>
      </c>
      <c r="E53" s="16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X53" s="9"/>
      <c r="Y53" s="11"/>
    </row>
    <row r="54" spans="1:25" s="2" customFormat="1" ht="12.75">
      <c r="A54" s="31"/>
      <c r="B54" s="25" t="s">
        <v>19</v>
      </c>
      <c r="C54" s="150" t="s">
        <v>107</v>
      </c>
      <c r="D54" s="157">
        <v>10</v>
      </c>
      <c r="E54" s="164">
        <v>0</v>
      </c>
      <c r="F54" s="12">
        <v>0</v>
      </c>
      <c r="G54" s="12">
        <f aca="true" t="shared" si="16" ref="G54:P54">+F54</f>
        <v>0</v>
      </c>
      <c r="H54" s="12">
        <f t="shared" si="16"/>
        <v>0</v>
      </c>
      <c r="I54" s="12">
        <f t="shared" si="16"/>
        <v>0</v>
      </c>
      <c r="J54" s="12">
        <f t="shared" si="16"/>
        <v>0</v>
      </c>
      <c r="K54" s="12">
        <f t="shared" si="16"/>
        <v>0</v>
      </c>
      <c r="L54" s="12">
        <f t="shared" si="16"/>
        <v>0</v>
      </c>
      <c r="M54" s="12">
        <f t="shared" si="16"/>
        <v>0</v>
      </c>
      <c r="N54" s="12">
        <f t="shared" si="16"/>
        <v>0</v>
      </c>
      <c r="O54" s="12">
        <f t="shared" si="16"/>
        <v>0</v>
      </c>
      <c r="P54" s="12">
        <f t="shared" si="16"/>
        <v>0</v>
      </c>
      <c r="Q54" s="12">
        <f>+P54*4</f>
        <v>0</v>
      </c>
      <c r="R54" s="12">
        <f>+Q54</f>
        <v>0</v>
      </c>
      <c r="S54" s="12">
        <f>+R54</f>
        <v>0</v>
      </c>
      <c r="T54" s="12">
        <f>+S54</f>
        <v>0</v>
      </c>
      <c r="U54" s="12">
        <f>+T54</f>
        <v>0</v>
      </c>
      <c r="V54" s="12">
        <f>+U54</f>
        <v>0</v>
      </c>
      <c r="X54" s="9"/>
      <c r="Y54" s="11"/>
    </row>
    <row r="55" spans="1:25" s="2" customFormat="1" ht="12.75">
      <c r="A55" s="31"/>
      <c r="C55" s="150"/>
      <c r="D55" s="13"/>
      <c r="E55" s="17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X55" s="9"/>
      <c r="Y55" s="11"/>
    </row>
    <row r="56" spans="1:25" s="26" customFormat="1" ht="12.75">
      <c r="A56" s="32" t="s">
        <v>40</v>
      </c>
      <c r="B56" s="25" t="s">
        <v>21</v>
      </c>
      <c r="C56" s="151"/>
      <c r="D56" s="38">
        <f>SUM(D28:D55)</f>
        <v>90.9595</v>
      </c>
      <c r="E56" s="168">
        <f>SUM(E28:E55)</f>
        <v>133.8055</v>
      </c>
      <c r="F56" s="27">
        <f aca="true" t="shared" si="17" ref="F56:R56">SUM(F28:F55)</f>
        <v>73.97933333333333</v>
      </c>
      <c r="G56" s="27">
        <f t="shared" si="17"/>
        <v>73.69183333333334</v>
      </c>
      <c r="H56" s="27">
        <f t="shared" si="17"/>
        <v>73.40433333333334</v>
      </c>
      <c r="I56" s="27">
        <f t="shared" si="17"/>
        <v>88.069</v>
      </c>
      <c r="J56" s="27">
        <f t="shared" si="17"/>
        <v>72.8345</v>
      </c>
      <c r="K56" s="27">
        <f t="shared" si="17"/>
        <v>70.72200000000001</v>
      </c>
      <c r="L56" s="27">
        <f t="shared" si="17"/>
        <v>68.747</v>
      </c>
      <c r="M56" s="27">
        <f t="shared" si="17"/>
        <v>80.356375</v>
      </c>
      <c r="N56" s="27">
        <f t="shared" si="17"/>
        <v>63.71625</v>
      </c>
      <c r="O56" s="27">
        <f t="shared" si="17"/>
        <v>63.71625</v>
      </c>
      <c r="P56" s="27">
        <f t="shared" si="17"/>
        <v>63.71625</v>
      </c>
      <c r="Q56" s="27">
        <f t="shared" si="17"/>
        <v>252.691</v>
      </c>
      <c r="R56" s="27">
        <f t="shared" si="17"/>
        <v>237.191</v>
      </c>
      <c r="S56" s="27">
        <f>SUM(S28:S55)</f>
        <v>221.391</v>
      </c>
      <c r="T56" s="27">
        <f>SUM(T28:T55)</f>
        <v>221.391</v>
      </c>
      <c r="U56" s="27">
        <f>SUM(U28:U55)</f>
        <v>220.68315</v>
      </c>
      <c r="V56" s="27">
        <f>SUM(V28:V55)</f>
        <v>196.875</v>
      </c>
      <c r="X56" s="28"/>
      <c r="Y56" s="29"/>
    </row>
    <row r="57" spans="1:25" s="26" customFormat="1" ht="12.75">
      <c r="A57" s="32"/>
      <c r="B57" s="25"/>
      <c r="C57" s="151"/>
      <c r="D57" s="38"/>
      <c r="E57" s="168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X57" s="28"/>
      <c r="Y57" s="29"/>
    </row>
    <row r="58" spans="1:25" s="26" customFormat="1" ht="12.75">
      <c r="A58" s="32"/>
      <c r="B58" s="3" t="s">
        <v>35</v>
      </c>
      <c r="C58" s="145"/>
      <c r="D58" s="157">
        <v>52</v>
      </c>
      <c r="E58" s="168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X58" s="28"/>
      <c r="Y58" s="29"/>
    </row>
    <row r="59" spans="1:25" s="2" customFormat="1" ht="12.75">
      <c r="A59" s="31"/>
      <c r="B59" s="3" t="s">
        <v>54</v>
      </c>
      <c r="C59" s="145"/>
      <c r="D59" s="13">
        <v>72</v>
      </c>
      <c r="E59" s="17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X59" s="9"/>
      <c r="Y59" s="11"/>
    </row>
    <row r="60" spans="1:25" s="26" customFormat="1" ht="13.5" thickBot="1">
      <c r="A60" s="32" t="s">
        <v>41</v>
      </c>
      <c r="B60" s="25" t="s">
        <v>43</v>
      </c>
      <c r="C60" s="152" t="s">
        <v>44</v>
      </c>
      <c r="D60" s="33">
        <f>+D23-D56+D59+D58</f>
        <v>180.15050000000002</v>
      </c>
      <c r="E60" s="171">
        <f aca="true" t="shared" si="18" ref="E60:V60">+E23-E56</f>
        <v>12.314500000000038</v>
      </c>
      <c r="F60" s="33">
        <f t="shared" si="18"/>
        <v>67.9963266666667</v>
      </c>
      <c r="G60" s="33">
        <f t="shared" si="18"/>
        <v>63.44468980066668</v>
      </c>
      <c r="H60" s="33">
        <f t="shared" si="18"/>
        <v>59.19939945258966</v>
      </c>
      <c r="I60" s="33">
        <f t="shared" si="18"/>
        <v>41.14283827286208</v>
      </c>
      <c r="J60" s="33">
        <f t="shared" si="18"/>
        <v>52.37834402395721</v>
      </c>
      <c r="K60" s="33">
        <f t="shared" si="18"/>
        <v>50.759699531655585</v>
      </c>
      <c r="L60" s="33">
        <f t="shared" si="18"/>
        <v>50.00079231671158</v>
      </c>
      <c r="M60" s="33">
        <f t="shared" si="18"/>
        <v>35.836555989425236</v>
      </c>
      <c r="N60" s="33">
        <f t="shared" si="18"/>
        <v>50.0943094950691</v>
      </c>
      <c r="O60" s="33">
        <f t="shared" si="18"/>
        <v>47.87818998952113</v>
      </c>
      <c r="P60" s="33">
        <f t="shared" si="18"/>
        <v>45.822389507242576</v>
      </c>
      <c r="Q60" s="142">
        <f t="shared" si="18"/>
        <v>185.4635580289703</v>
      </c>
      <c r="R60" s="142">
        <f t="shared" si="18"/>
        <v>187.9064410073086</v>
      </c>
      <c r="S60" s="142">
        <f t="shared" si="18"/>
        <v>233.98942934985175</v>
      </c>
      <c r="T60" s="142">
        <f t="shared" si="18"/>
        <v>268.81486594377634</v>
      </c>
      <c r="U60" s="142">
        <f t="shared" si="18"/>
        <v>309.57196802678965</v>
      </c>
      <c r="V60" s="142">
        <f t="shared" si="18"/>
        <v>379.4367579222551</v>
      </c>
      <c r="X60" s="28"/>
      <c r="Y60" s="29"/>
    </row>
    <row r="61" spans="1:25" s="26" customFormat="1" ht="13.5" thickTop="1">
      <c r="A61" s="32"/>
      <c r="B61" s="25"/>
      <c r="C61" s="152"/>
      <c r="D61" s="38"/>
      <c r="E61" s="16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X61" s="28"/>
      <c r="Y61" s="29"/>
    </row>
    <row r="62" spans="1:25" s="26" customFormat="1" ht="12.75">
      <c r="A62" s="32"/>
      <c r="B62" s="25"/>
      <c r="C62" s="152"/>
      <c r="D62" s="38"/>
      <c r="E62" s="16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X62" s="28"/>
      <c r="Y62" s="29"/>
    </row>
    <row r="63" spans="1:25" s="26" customFormat="1" ht="12.75">
      <c r="A63" s="32"/>
      <c r="B63" s="25"/>
      <c r="C63" s="152"/>
      <c r="D63" s="38"/>
      <c r="E63" s="16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X63" s="28"/>
      <c r="Y63" s="29"/>
    </row>
    <row r="64" spans="1:25" s="26" customFormat="1" ht="12.75">
      <c r="A64" s="32"/>
      <c r="B64" s="25"/>
      <c r="C64" s="152"/>
      <c r="D64" s="38"/>
      <c r="E64" s="16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X64" s="28"/>
      <c r="Y64" s="29"/>
    </row>
    <row r="65" spans="1:25" s="2" customFormat="1" ht="12.75">
      <c r="A65" s="31"/>
      <c r="B65" s="3"/>
      <c r="C65" s="145"/>
      <c r="D65" s="157"/>
      <c r="E65" s="164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X65" s="39" t="s">
        <v>55</v>
      </c>
      <c r="Y65" s="40" t="s">
        <v>49</v>
      </c>
    </row>
    <row r="66" spans="2:25" ht="12.75">
      <c r="B66" s="54" t="s">
        <v>22</v>
      </c>
      <c r="C66" s="4"/>
      <c r="D66" s="158"/>
      <c r="E66" s="172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X66" s="41" t="s">
        <v>22</v>
      </c>
      <c r="Y66" s="42" t="s">
        <v>48</v>
      </c>
    </row>
    <row r="67" spans="1:25" ht="12.75">
      <c r="A67" s="17" t="s">
        <v>42</v>
      </c>
      <c r="B67" s="1" t="s">
        <v>87</v>
      </c>
      <c r="C67" s="153">
        <v>250</v>
      </c>
      <c r="D67" s="158">
        <v>45</v>
      </c>
      <c r="E67" s="172">
        <v>25</v>
      </c>
      <c r="F67" s="14">
        <v>25</v>
      </c>
      <c r="G67" s="14">
        <v>25</v>
      </c>
      <c r="H67" s="14">
        <v>25</v>
      </c>
      <c r="I67" s="14">
        <f>250-(+D67+E67+F67+G67+H67)</f>
        <v>105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X67" s="10">
        <f>+C67-D67-E67</f>
        <v>180</v>
      </c>
      <c r="Y67" s="5">
        <f>+X67*0.044</f>
        <v>7.92</v>
      </c>
    </row>
    <row r="68" spans="1:25" ht="12.75">
      <c r="A68" s="17" t="s">
        <v>42</v>
      </c>
      <c r="B68" s="1" t="s">
        <v>88</v>
      </c>
      <c r="C68" s="153">
        <v>16</v>
      </c>
      <c r="D68" s="158">
        <v>16</v>
      </c>
      <c r="E68" s="173">
        <v>-239</v>
      </c>
      <c r="F68" s="14"/>
      <c r="G68" s="14"/>
      <c r="H68" s="14"/>
      <c r="I68" s="36">
        <v>239</v>
      </c>
      <c r="J68" s="14"/>
      <c r="K68" s="14"/>
      <c r="L68" s="14"/>
      <c r="M68" s="143">
        <v>-150</v>
      </c>
      <c r="N68" s="14"/>
      <c r="O68" s="14"/>
      <c r="P68" s="143">
        <v>150</v>
      </c>
      <c r="Q68" s="14"/>
      <c r="R68" s="14"/>
      <c r="S68" s="14"/>
      <c r="T68" s="14"/>
      <c r="U68" s="14"/>
      <c r="V68" s="14"/>
      <c r="X68" s="10">
        <v>239</v>
      </c>
      <c r="Y68" s="5">
        <f>+X68*0.044</f>
        <v>10.516</v>
      </c>
    </row>
    <row r="69" spans="1:24" ht="12.75">
      <c r="A69" s="17" t="s">
        <v>42</v>
      </c>
      <c r="B69" s="1" t="s">
        <v>25</v>
      </c>
      <c r="C69" s="153">
        <v>35</v>
      </c>
      <c r="D69" s="158">
        <v>35</v>
      </c>
      <c r="E69" s="172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X69" s="10">
        <f>+C69-D69</f>
        <v>0</v>
      </c>
    </row>
    <row r="70" spans="1:22" ht="12.75">
      <c r="A70" s="17"/>
      <c r="B70" s="1" t="s">
        <v>120</v>
      </c>
      <c r="C70" s="153"/>
      <c r="D70" s="158"/>
      <c r="E70" s="172">
        <v>0.3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5" ht="12.75">
      <c r="A71" s="17" t="s">
        <v>42</v>
      </c>
      <c r="B71" s="102" t="s">
        <v>34</v>
      </c>
      <c r="C71" s="154">
        <f>+X71</f>
        <v>184</v>
      </c>
      <c r="D71" s="158"/>
      <c r="E71" s="172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>
        <v>184</v>
      </c>
      <c r="T71" s="14"/>
      <c r="U71" s="14"/>
      <c r="V71" s="14"/>
      <c r="X71" s="10">
        <f aca="true" t="shared" si="19" ref="X71:X80">SUM(D71:W71)</f>
        <v>184</v>
      </c>
      <c r="Y71" s="5">
        <f>+X71*0.0625</f>
        <v>11.5</v>
      </c>
    </row>
    <row r="72" spans="1:22" ht="12.75">
      <c r="A72" s="17" t="s">
        <v>42</v>
      </c>
      <c r="B72" s="19" t="s">
        <v>14</v>
      </c>
      <c r="C72" s="153"/>
      <c r="D72" s="158"/>
      <c r="E72" s="172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5" ht="12.75">
      <c r="A73" s="17" t="s">
        <v>42</v>
      </c>
      <c r="B73" s="7" t="s">
        <v>27</v>
      </c>
      <c r="C73" s="154">
        <v>130</v>
      </c>
      <c r="D73" s="158"/>
      <c r="E73" s="172"/>
      <c r="F73" s="14"/>
      <c r="G73" s="14"/>
      <c r="H73" s="14"/>
      <c r="I73" s="14"/>
      <c r="J73" s="14"/>
      <c r="K73" s="14">
        <v>130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X73" s="10">
        <f t="shared" si="19"/>
        <v>130</v>
      </c>
      <c r="Y73" s="5">
        <f>+X73*0.065</f>
        <v>8.450000000000001</v>
      </c>
    </row>
    <row r="74" spans="1:25" ht="12.75">
      <c r="A74" s="17" t="s">
        <v>42</v>
      </c>
      <c r="B74" s="1" t="s">
        <v>26</v>
      </c>
      <c r="C74" s="154">
        <v>125</v>
      </c>
      <c r="D74" s="158"/>
      <c r="E74" s="172"/>
      <c r="F74" s="14"/>
      <c r="G74" s="14"/>
      <c r="H74" s="14"/>
      <c r="I74" s="14"/>
      <c r="J74" s="14"/>
      <c r="K74" s="14"/>
      <c r="L74" s="14">
        <v>125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X74" s="10">
        <f t="shared" si="19"/>
        <v>125</v>
      </c>
      <c r="Y74" s="5">
        <f>+X74*0.0685</f>
        <v>8.5625</v>
      </c>
    </row>
    <row r="75" spans="1:25" ht="12.75">
      <c r="A75" s="17" t="s">
        <v>42</v>
      </c>
      <c r="B75" s="1" t="s">
        <v>28</v>
      </c>
      <c r="C75" s="154">
        <v>255</v>
      </c>
      <c r="D75" s="158"/>
      <c r="E75" s="172"/>
      <c r="F75" s="14"/>
      <c r="G75" s="14"/>
      <c r="H75" s="14"/>
      <c r="I75" s="14"/>
      <c r="J75" s="14"/>
      <c r="K75" s="14"/>
      <c r="L75" s="14"/>
      <c r="M75" s="14"/>
      <c r="N75" s="14">
        <v>255</v>
      </c>
      <c r="O75" s="14"/>
      <c r="P75" s="14"/>
      <c r="Q75" s="14"/>
      <c r="R75" s="14"/>
      <c r="S75" s="14"/>
      <c r="T75" s="14"/>
      <c r="U75" s="14"/>
      <c r="V75" s="14"/>
      <c r="X75" s="10">
        <f t="shared" si="19"/>
        <v>255</v>
      </c>
      <c r="Y75" s="5">
        <f>+X75*0.0571</f>
        <v>14.5605</v>
      </c>
    </row>
    <row r="76" spans="1:25" ht="12.75">
      <c r="A76" s="17" t="s">
        <v>42</v>
      </c>
      <c r="B76" s="1" t="s">
        <v>29</v>
      </c>
      <c r="C76" s="154">
        <v>138</v>
      </c>
      <c r="D76" s="158"/>
      <c r="E76" s="172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>
        <v>138</v>
      </c>
      <c r="R76" s="14"/>
      <c r="S76" s="14"/>
      <c r="T76" s="14"/>
      <c r="U76" s="14"/>
      <c r="V76" s="14"/>
      <c r="X76" s="10">
        <f t="shared" si="19"/>
        <v>138</v>
      </c>
      <c r="Y76" s="5">
        <f>+X76*0.073</f>
        <v>10.074</v>
      </c>
    </row>
    <row r="77" spans="1:25" ht="12.75">
      <c r="A77" s="17" t="s">
        <v>42</v>
      </c>
      <c r="B77" s="1" t="s">
        <v>30</v>
      </c>
      <c r="C77" s="154">
        <v>320</v>
      </c>
      <c r="D77" s="158"/>
      <c r="E77" s="172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>
        <v>320</v>
      </c>
      <c r="S77" s="14"/>
      <c r="T77" s="14"/>
      <c r="U77" s="14"/>
      <c r="V77" s="14"/>
      <c r="X77" s="10">
        <f t="shared" si="19"/>
        <v>320</v>
      </c>
      <c r="Y77" s="5">
        <f>+X77*0.0525</f>
        <v>16.8</v>
      </c>
    </row>
    <row r="78" spans="1:25" ht="12.75">
      <c r="A78" s="17" t="s">
        <v>42</v>
      </c>
      <c r="B78" s="1" t="s">
        <v>31</v>
      </c>
      <c r="C78" s="154">
        <v>121</v>
      </c>
      <c r="D78" s="158"/>
      <c r="E78" s="172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121</v>
      </c>
      <c r="V78" s="14"/>
      <c r="X78" s="10">
        <f t="shared" si="19"/>
        <v>121</v>
      </c>
      <c r="Y78" s="5">
        <f>+X78*0.0585</f>
        <v>7.0785</v>
      </c>
    </row>
    <row r="79" spans="1:25" ht="12.75">
      <c r="A79" s="17" t="s">
        <v>42</v>
      </c>
      <c r="B79" s="1" t="s">
        <v>32</v>
      </c>
      <c r="C79" s="154">
        <v>300</v>
      </c>
      <c r="D79" s="158"/>
      <c r="E79" s="172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>
        <v>300</v>
      </c>
      <c r="X79" s="10">
        <f t="shared" si="19"/>
        <v>300</v>
      </c>
      <c r="Y79" s="5">
        <f>+X79*0.0775</f>
        <v>23.25</v>
      </c>
    </row>
    <row r="80" spans="1:25" ht="12.75">
      <c r="A80" s="17" t="s">
        <v>42</v>
      </c>
      <c r="B80" s="1" t="s">
        <v>33</v>
      </c>
      <c r="C80" s="154">
        <v>17</v>
      </c>
      <c r="D80" s="158"/>
      <c r="E80" s="172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v>17</v>
      </c>
      <c r="X80" s="10">
        <f t="shared" si="19"/>
        <v>17</v>
      </c>
      <c r="Y80" s="5">
        <f>+X80*0.0625</f>
        <v>1.0625</v>
      </c>
    </row>
    <row r="81" spans="2:22" ht="12.75">
      <c r="B81" s="19" t="s">
        <v>69</v>
      </c>
      <c r="C81" s="35">
        <f>SUM(C67:C80)</f>
        <v>1891</v>
      </c>
      <c r="D81" s="158"/>
      <c r="E81" s="172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5" s="16" customFormat="1" ht="13.5" thickBot="1">
      <c r="A82" s="17" t="s">
        <v>45</v>
      </c>
      <c r="B82" s="16" t="s">
        <v>53</v>
      </c>
      <c r="C82" s="155" t="s">
        <v>51</v>
      </c>
      <c r="D82" s="118">
        <f aca="true" t="shared" si="20" ref="D82:R82">-SUM(D65:D81)+D60</f>
        <v>84.15050000000002</v>
      </c>
      <c r="E82" s="174">
        <f t="shared" si="20"/>
        <v>226.01450000000003</v>
      </c>
      <c r="F82" s="118">
        <f t="shared" si="20"/>
        <v>42.996326666666704</v>
      </c>
      <c r="G82" s="118">
        <f t="shared" si="20"/>
        <v>38.44468980066668</v>
      </c>
      <c r="H82" s="118">
        <f t="shared" si="20"/>
        <v>34.19939945258966</v>
      </c>
      <c r="I82" s="118">
        <f t="shared" si="20"/>
        <v>-302.8571617271379</v>
      </c>
      <c r="J82" s="118">
        <f t="shared" si="20"/>
        <v>52.37834402395721</v>
      </c>
      <c r="K82" s="118">
        <f t="shared" si="20"/>
        <v>-79.24030046834442</v>
      </c>
      <c r="L82" s="118">
        <f t="shared" si="20"/>
        <v>-74.99920768328842</v>
      </c>
      <c r="M82" s="118">
        <f t="shared" si="20"/>
        <v>185.83655598942522</v>
      </c>
      <c r="N82" s="118">
        <f t="shared" si="20"/>
        <v>-204.9056905049309</v>
      </c>
      <c r="O82" s="118">
        <f t="shared" si="20"/>
        <v>47.87818998952113</v>
      </c>
      <c r="P82" s="118">
        <f t="shared" si="20"/>
        <v>-104.17761049275742</v>
      </c>
      <c r="Q82" s="118">
        <f t="shared" si="20"/>
        <v>47.46355802897031</v>
      </c>
      <c r="R82" s="118">
        <f t="shared" si="20"/>
        <v>-132.0935589926914</v>
      </c>
      <c r="S82" s="118">
        <f>-SUM(S65:S81)+S60</f>
        <v>49.98942934985175</v>
      </c>
      <c r="T82" s="118">
        <f>-SUM(T65:T81)+T60</f>
        <v>268.81486594377634</v>
      </c>
      <c r="U82" s="118">
        <f>-SUM(U65:U81)+U60</f>
        <v>188.57196802678965</v>
      </c>
      <c r="V82" s="118">
        <f>-SUM(V65:V81)+V60</f>
        <v>62.43675792225508</v>
      </c>
      <c r="W82" s="35"/>
      <c r="X82" s="57">
        <f>SUM(X65:X81)</f>
        <v>2009</v>
      </c>
      <c r="Y82" s="57">
        <f>SUM(Y65:Y81)</f>
        <v>119.774</v>
      </c>
    </row>
    <row r="83" spans="3:23" ht="14.25" thickBot="1" thickTop="1">
      <c r="C83" s="4"/>
      <c r="D83" s="158"/>
      <c r="E83" s="172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4"/>
    </row>
    <row r="84" spans="1:25" s="16" customFormat="1" ht="13.5" thickBot="1">
      <c r="A84" s="115" t="s">
        <v>52</v>
      </c>
      <c r="B84" s="116" t="s">
        <v>23</v>
      </c>
      <c r="C84" s="156"/>
      <c r="D84" s="159">
        <f>+D82</f>
        <v>84.15050000000002</v>
      </c>
      <c r="E84" s="119">
        <f>+D84+E82</f>
        <v>310.1650000000001</v>
      </c>
      <c r="F84" s="120">
        <f aca="true" t="shared" si="21" ref="F84:R84">+E84+F82</f>
        <v>353.1613266666668</v>
      </c>
      <c r="G84" s="120">
        <f t="shared" si="21"/>
        <v>391.60601646733346</v>
      </c>
      <c r="H84" s="120">
        <f t="shared" si="21"/>
        <v>425.8054159199231</v>
      </c>
      <c r="I84" s="120">
        <f t="shared" si="21"/>
        <v>122.94825419278521</v>
      </c>
      <c r="J84" s="120">
        <f t="shared" si="21"/>
        <v>175.3265982167424</v>
      </c>
      <c r="K84" s="120">
        <f t="shared" si="21"/>
        <v>96.086297748398</v>
      </c>
      <c r="L84" s="121">
        <f t="shared" si="21"/>
        <v>21.087090065109578</v>
      </c>
      <c r="M84" s="120">
        <f t="shared" si="21"/>
        <v>206.9236460545348</v>
      </c>
      <c r="N84" s="121">
        <f t="shared" si="21"/>
        <v>2.0179555496038972</v>
      </c>
      <c r="O84" s="120">
        <f t="shared" si="21"/>
        <v>49.89614553912503</v>
      </c>
      <c r="P84" s="120">
        <f t="shared" si="21"/>
        <v>-54.281464953632394</v>
      </c>
      <c r="Q84" s="120">
        <f t="shared" si="21"/>
        <v>-6.817906924662083</v>
      </c>
      <c r="R84" s="121">
        <f t="shared" si="21"/>
        <v>-138.9114659173535</v>
      </c>
      <c r="S84" s="140">
        <f>+R84+S82</f>
        <v>-88.92203656750175</v>
      </c>
      <c r="T84" s="140">
        <f>+S84+T82</f>
        <v>179.8928293762746</v>
      </c>
      <c r="U84" s="140">
        <f>+T84+U82</f>
        <v>368.46479740306427</v>
      </c>
      <c r="V84" s="140">
        <f>+U84+V82</f>
        <v>430.90155532531935</v>
      </c>
      <c r="W84" s="35"/>
      <c r="X84" s="37"/>
      <c r="Y84" s="18"/>
    </row>
    <row r="85" spans="1:25" s="16" customFormat="1" ht="12.75">
      <c r="A85" s="17"/>
      <c r="D85" s="105"/>
      <c r="E85" s="36"/>
      <c r="F85" s="36"/>
      <c r="G85" s="36"/>
      <c r="H85" s="36"/>
      <c r="I85" s="36"/>
      <c r="J85" s="36"/>
      <c r="K85" s="36"/>
      <c r="L85" s="105"/>
      <c r="M85" s="36"/>
      <c r="N85" s="105"/>
      <c r="O85" s="36"/>
      <c r="P85" s="36"/>
      <c r="Q85" s="36"/>
      <c r="R85" s="36"/>
      <c r="S85" s="36"/>
      <c r="T85" s="36"/>
      <c r="U85" s="36"/>
      <c r="V85" s="36"/>
      <c r="W85" s="35"/>
      <c r="X85" s="37"/>
      <c r="Y85" s="18"/>
    </row>
    <row r="86" spans="1:25" s="16" customFormat="1" ht="12.75">
      <c r="A86" s="17"/>
      <c r="B86" s="123" t="s">
        <v>104</v>
      </c>
      <c r="C86" s="124"/>
      <c r="D86" s="125"/>
      <c r="E86" s="125">
        <f>+((+G95+G96+G97)/4)</f>
        <v>5.584875</v>
      </c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6"/>
      <c r="S86" s="141"/>
      <c r="T86" s="141"/>
      <c r="U86" s="141"/>
      <c r="V86" s="141"/>
      <c r="W86" s="35"/>
      <c r="X86" s="37"/>
      <c r="Y86" s="18"/>
    </row>
    <row r="87" spans="1:25" s="16" customFormat="1" ht="12.75">
      <c r="A87" s="17"/>
      <c r="D87" s="105"/>
      <c r="E87" s="36"/>
      <c r="F87" s="36"/>
      <c r="G87" s="36"/>
      <c r="H87" s="36"/>
      <c r="I87" s="36"/>
      <c r="J87" s="36"/>
      <c r="K87" s="36"/>
      <c r="L87" s="105"/>
      <c r="M87" s="36"/>
      <c r="N87" s="105"/>
      <c r="O87" s="36"/>
      <c r="P87" s="36"/>
      <c r="Q87" s="36"/>
      <c r="R87" s="36"/>
      <c r="S87" s="36"/>
      <c r="T87" s="36"/>
      <c r="U87" s="36"/>
      <c r="V87" s="36"/>
      <c r="W87" s="35"/>
      <c r="X87" s="37"/>
      <c r="Y87" s="18"/>
    </row>
    <row r="88" ht="12.75">
      <c r="B88" s="55" t="s">
        <v>50</v>
      </c>
    </row>
    <row r="89" spans="2:21" ht="12.75">
      <c r="B89" s="55"/>
      <c r="U89" t="s">
        <v>95</v>
      </c>
    </row>
    <row r="90" spans="2:24" ht="12.75">
      <c r="B90" s="55"/>
      <c r="U90" t="s">
        <v>96</v>
      </c>
      <c r="W90" t="s">
        <v>97</v>
      </c>
      <c r="X90" s="10">
        <v>-84</v>
      </c>
    </row>
    <row r="91" spans="2:24" ht="12.75">
      <c r="B91" s="55"/>
      <c r="D91" s="89"/>
      <c r="E91" s="90" t="s">
        <v>66</v>
      </c>
      <c r="F91" s="91"/>
      <c r="G91" s="92"/>
      <c r="W91" t="s">
        <v>98</v>
      </c>
      <c r="X91" s="10">
        <v>-239</v>
      </c>
    </row>
    <row r="92" spans="2:24" ht="12.75">
      <c r="B92" s="55"/>
      <c r="D92" s="62" t="s">
        <v>24</v>
      </c>
      <c r="E92" s="88" t="s">
        <v>94</v>
      </c>
      <c r="F92" s="63" t="s">
        <v>93</v>
      </c>
      <c r="G92" s="63" t="s">
        <v>19</v>
      </c>
      <c r="U92" t="s">
        <v>100</v>
      </c>
      <c r="X92" s="10">
        <v>-184</v>
      </c>
    </row>
    <row r="93" spans="2:24" ht="13.5" thickBot="1">
      <c r="B93" s="55"/>
      <c r="C93" s="6" t="s">
        <v>15</v>
      </c>
      <c r="D93" s="6">
        <v>1</v>
      </c>
      <c r="E93" s="14">
        <v>251.1</v>
      </c>
      <c r="F93" s="5">
        <v>10.045872</v>
      </c>
      <c r="G93" s="5">
        <f>10*25*0.0425</f>
        <v>10.625</v>
      </c>
      <c r="U93" t="s">
        <v>99</v>
      </c>
      <c r="X93" s="93">
        <f>SUM(X82:X92)</f>
        <v>1502</v>
      </c>
    </row>
    <row r="94" spans="2:7" ht="13.5" thickTop="1">
      <c r="B94" s="55"/>
      <c r="C94" s="6" t="s">
        <v>40</v>
      </c>
      <c r="D94" s="6">
        <v>2</v>
      </c>
      <c r="E94" s="14">
        <v>151.6</v>
      </c>
      <c r="F94" s="5">
        <v>6.062128</v>
      </c>
      <c r="G94" s="5">
        <f>6*1.25</f>
        <v>7.5</v>
      </c>
    </row>
    <row r="95" spans="2:7" ht="13.5" thickBot="1">
      <c r="B95" s="55"/>
      <c r="C95" s="6" t="s">
        <v>41</v>
      </c>
      <c r="D95" s="6">
        <v>3</v>
      </c>
      <c r="E95" s="14">
        <f>203</f>
        <v>203</v>
      </c>
      <c r="F95" s="5">
        <v>8.1209</v>
      </c>
      <c r="G95" s="5">
        <f>203*0.0675</f>
        <v>13.7025</v>
      </c>
    </row>
    <row r="96" spans="3:24" ht="18.75" thickBot="1">
      <c r="C96" s="6" t="s">
        <v>42</v>
      </c>
      <c r="D96" s="6">
        <v>5</v>
      </c>
      <c r="E96" s="14">
        <f>123</f>
        <v>123</v>
      </c>
      <c r="F96" s="5">
        <v>4.91992</v>
      </c>
      <c r="G96" s="5">
        <f>123*0.069</f>
        <v>8.487</v>
      </c>
      <c r="S96" s="19" t="s">
        <v>68</v>
      </c>
      <c r="T96" s="102" t="s">
        <v>58</v>
      </c>
      <c r="U96" t="s">
        <v>57</v>
      </c>
      <c r="V96" s="14">
        <f>(+$E$23+$F$23)*2*0+147.2*4</f>
        <v>588.8</v>
      </c>
      <c r="W96" s="17" t="s">
        <v>67</v>
      </c>
      <c r="X96" s="71">
        <f>+X93/+(V96)</f>
        <v>2.550951086956522</v>
      </c>
    </row>
    <row r="97" spans="4:24" ht="12.75">
      <c r="D97" s="6">
        <v>7</v>
      </c>
      <c r="E97" s="14">
        <v>2.9</v>
      </c>
      <c r="F97" s="5">
        <v>0.383333</v>
      </c>
      <c r="G97" s="5">
        <f>3*0.05</f>
        <v>0.15000000000000002</v>
      </c>
      <c r="S97" s="1"/>
      <c r="T97" s="1"/>
      <c r="X97" s="56"/>
    </row>
    <row r="98" spans="5:25" ht="13.5" thickBot="1">
      <c r="E98" s="14"/>
      <c r="X98" s="1" t="s">
        <v>62</v>
      </c>
      <c r="Y98" s="58">
        <f>+Y82*0.5</f>
        <v>59.887</v>
      </c>
    </row>
    <row r="99" spans="4:25" ht="18.75" thickBot="1">
      <c r="D99" s="16" t="s">
        <v>37</v>
      </c>
      <c r="E99" s="34">
        <f>SUM(E93:E98)</f>
        <v>731.6</v>
      </c>
      <c r="F99" s="59">
        <f>SUM(F93:F98)</f>
        <v>29.532153000000005</v>
      </c>
      <c r="G99" s="59">
        <f>SUM(G93:G98)</f>
        <v>40.4645</v>
      </c>
      <c r="S99" s="19" t="s">
        <v>59</v>
      </c>
      <c r="T99" s="102" t="s">
        <v>58</v>
      </c>
      <c r="U99" t="s">
        <v>57</v>
      </c>
      <c r="V99" s="14">
        <f>(+$E$23+$F$23)</f>
        <v>288.09566000000007</v>
      </c>
      <c r="X99" s="24" t="s">
        <v>60</v>
      </c>
      <c r="Y99" s="69">
        <f>+V99/Y98</f>
        <v>4.810654399118341</v>
      </c>
    </row>
    <row r="100" ht="13.5" thickTop="1"/>
    <row r="101" ht="12.75">
      <c r="B101" s="86"/>
    </row>
    <row r="106" ht="12.75">
      <c r="L106" s="85"/>
    </row>
  </sheetData>
  <sheetProtection/>
  <printOptions/>
  <pageMargins left="0.75" right="0.75" top="1" bottom="1" header="0.5" footer="0.5"/>
  <pageSetup fitToHeight="2" fitToWidth="1" orientation="landscape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10" customWidth="1"/>
    <col min="25" max="25" width="9.140625" style="5" customWidth="1"/>
  </cols>
  <sheetData>
    <row r="1" spans="2:9" ht="31.5">
      <c r="B1" s="113" t="s">
        <v>109</v>
      </c>
      <c r="G1" s="64"/>
      <c r="H1" s="65" t="s">
        <v>108</v>
      </c>
      <c r="I1" s="64"/>
    </row>
    <row r="2" spans="1:25" s="98" customFormat="1" ht="10.5" customHeight="1">
      <c r="A2" s="31"/>
      <c r="B2" s="97"/>
      <c r="H2" s="99"/>
      <c r="X2" s="100"/>
      <c r="Y2" s="101"/>
    </row>
    <row r="3" spans="2:6" ht="20.25">
      <c r="B3" s="114" t="s">
        <v>110</v>
      </c>
      <c r="C3" s="95"/>
      <c r="D3" s="95"/>
      <c r="E3" s="104"/>
      <c r="F3" s="96"/>
    </row>
    <row r="4" spans="1:25" s="19" customFormat="1" ht="13.5" thickBot="1">
      <c r="A4" s="17"/>
      <c r="D4" s="122"/>
      <c r="E4" s="20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19">
        <v>2015</v>
      </c>
      <c r="R4" s="19">
        <v>2016</v>
      </c>
      <c r="S4" s="19">
        <v>2017</v>
      </c>
      <c r="T4" s="19">
        <v>2018</v>
      </c>
      <c r="U4" s="19">
        <v>2019</v>
      </c>
      <c r="V4" s="19">
        <v>2020</v>
      </c>
      <c r="W4" s="17"/>
      <c r="X4" s="24"/>
      <c r="Y4" s="23"/>
    </row>
    <row r="5" spans="2:25" s="129" customFormat="1" ht="17.25" thickBot="1">
      <c r="B5" s="136" t="s">
        <v>105</v>
      </c>
      <c r="C5" s="137"/>
      <c r="D5" s="137"/>
      <c r="E5" s="138">
        <v>0.045</v>
      </c>
      <c r="F5" s="138">
        <f>+E5</f>
        <v>0.045</v>
      </c>
      <c r="G5" s="138">
        <f aca="true" t="shared" si="0" ref="G5:O5">+F5</f>
        <v>0.045</v>
      </c>
      <c r="H5" s="138">
        <f t="shared" si="0"/>
        <v>0.045</v>
      </c>
      <c r="I5" s="138">
        <f t="shared" si="0"/>
        <v>0.045</v>
      </c>
      <c r="J5" s="138">
        <f t="shared" si="0"/>
        <v>0.045</v>
      </c>
      <c r="K5" s="138">
        <f t="shared" si="0"/>
        <v>0.045</v>
      </c>
      <c r="L5" s="138">
        <f t="shared" si="0"/>
        <v>0.045</v>
      </c>
      <c r="M5" s="138">
        <f t="shared" si="0"/>
        <v>0.045</v>
      </c>
      <c r="N5" s="138">
        <f t="shared" si="0"/>
        <v>0.045</v>
      </c>
      <c r="O5" s="138">
        <f t="shared" si="0"/>
        <v>0.045</v>
      </c>
      <c r="P5" s="138">
        <f>+O5</f>
        <v>0.045</v>
      </c>
      <c r="Q5" s="138">
        <v>0.15</v>
      </c>
      <c r="R5" s="139">
        <v>0.15</v>
      </c>
      <c r="S5" s="139">
        <v>0.15</v>
      </c>
      <c r="T5" s="139">
        <v>0.15</v>
      </c>
      <c r="U5" s="139">
        <v>0.15</v>
      </c>
      <c r="V5" s="139">
        <v>0.15</v>
      </c>
      <c r="X5" s="134"/>
      <c r="Y5" s="135"/>
    </row>
    <row r="6" spans="2:25" s="129" customFormat="1" ht="17.25" thickBot="1">
      <c r="B6" s="130" t="s">
        <v>106</v>
      </c>
      <c r="C6" s="131"/>
      <c r="D6" s="131"/>
      <c r="E6" s="132">
        <v>-0.044</v>
      </c>
      <c r="F6" s="132">
        <f>+E6</f>
        <v>-0.044</v>
      </c>
      <c r="G6" s="132">
        <f aca="true" t="shared" si="1" ref="G6:O6">+F6</f>
        <v>-0.044</v>
      </c>
      <c r="H6" s="132">
        <f t="shared" si="1"/>
        <v>-0.044</v>
      </c>
      <c r="I6" s="132">
        <f t="shared" si="1"/>
        <v>-0.044</v>
      </c>
      <c r="J6" s="132">
        <f t="shared" si="1"/>
        <v>-0.044</v>
      </c>
      <c r="K6" s="132">
        <f t="shared" si="1"/>
        <v>-0.044</v>
      </c>
      <c r="L6" s="132">
        <f t="shared" si="1"/>
        <v>-0.044</v>
      </c>
      <c r="M6" s="132">
        <f t="shared" si="1"/>
        <v>-0.044</v>
      </c>
      <c r="N6" s="132">
        <f t="shared" si="1"/>
        <v>-0.044</v>
      </c>
      <c r="O6" s="132">
        <f t="shared" si="1"/>
        <v>-0.044</v>
      </c>
      <c r="P6" s="132">
        <f>+O6</f>
        <v>-0.044</v>
      </c>
      <c r="Q6" s="132">
        <v>-0.15</v>
      </c>
      <c r="R6" s="133">
        <v>-0.15</v>
      </c>
      <c r="S6" s="133">
        <v>0</v>
      </c>
      <c r="T6" s="133">
        <v>0</v>
      </c>
      <c r="U6" s="133">
        <v>0</v>
      </c>
      <c r="V6" s="133">
        <v>0</v>
      </c>
      <c r="X6" s="134"/>
      <c r="Y6" s="135"/>
    </row>
    <row r="7" spans="2:6" ht="20.25">
      <c r="B7" s="94"/>
      <c r="C7" s="95"/>
      <c r="D7" s="95"/>
      <c r="E7" s="104"/>
      <c r="F7" s="96"/>
    </row>
    <row r="8" spans="1:25" s="16" customFormat="1" ht="12.75">
      <c r="A8" s="17"/>
      <c r="D8" s="17" t="s">
        <v>56</v>
      </c>
      <c r="E8" s="67" t="s">
        <v>63</v>
      </c>
      <c r="F8" s="66" t="s">
        <v>64</v>
      </c>
      <c r="X8" s="24"/>
      <c r="Y8" s="23"/>
    </row>
    <row r="9" spans="1:25" s="19" customFormat="1" ht="12.75">
      <c r="A9" s="17"/>
      <c r="C9" s="19" t="s">
        <v>36</v>
      </c>
      <c r="D9" s="43" t="s">
        <v>20</v>
      </c>
      <c r="E9" s="20" t="s">
        <v>1</v>
      </c>
      <c r="F9" s="20" t="s">
        <v>2</v>
      </c>
      <c r="G9" s="20" t="s">
        <v>3</v>
      </c>
      <c r="H9" s="20" t="s">
        <v>4</v>
      </c>
      <c r="I9" s="21" t="s">
        <v>5</v>
      </c>
      <c r="J9" s="21" t="s">
        <v>6</v>
      </c>
      <c r="K9" s="21" t="s">
        <v>7</v>
      </c>
      <c r="L9" s="21" t="s">
        <v>8</v>
      </c>
      <c r="M9" s="22" t="s">
        <v>9</v>
      </c>
      <c r="N9" s="22" t="s">
        <v>10</v>
      </c>
      <c r="O9" s="22" t="s">
        <v>11</v>
      </c>
      <c r="P9" s="22" t="s">
        <v>12</v>
      </c>
      <c r="Q9" s="19">
        <v>2015</v>
      </c>
      <c r="R9" s="19">
        <v>2016</v>
      </c>
      <c r="S9" s="19">
        <v>2017</v>
      </c>
      <c r="T9" s="19">
        <v>2018</v>
      </c>
      <c r="U9" s="19">
        <v>2019</v>
      </c>
      <c r="V9" s="19">
        <v>2020</v>
      </c>
      <c r="W9" s="17" t="s">
        <v>46</v>
      </c>
      <c r="X9" s="24"/>
      <c r="Y9" s="23"/>
    </row>
    <row r="10" spans="1:25" s="2" customFormat="1" ht="12.75">
      <c r="A10" s="31"/>
      <c r="B10" s="53" t="s">
        <v>57</v>
      </c>
      <c r="C10" s="3"/>
      <c r="D10" s="44"/>
      <c r="X10" s="9"/>
      <c r="Y10" s="11"/>
    </row>
    <row r="11" spans="1:25" s="2" customFormat="1" ht="12.75">
      <c r="A11" s="31"/>
      <c r="B11" s="103"/>
      <c r="C11" s="3"/>
      <c r="D11" s="44"/>
      <c r="X11" s="9"/>
      <c r="Y11" s="11"/>
    </row>
    <row r="12" spans="1:25" s="2" customFormat="1" ht="12.75">
      <c r="A12" s="31"/>
      <c r="B12" s="72" t="s">
        <v>73</v>
      </c>
      <c r="C12" s="3"/>
      <c r="D12" s="47">
        <v>90</v>
      </c>
      <c r="E12" s="12">
        <f>+D12*(1+E13)</f>
        <v>94.05</v>
      </c>
      <c r="F12" s="12">
        <f aca="true" t="shared" si="2" ref="F12:P12">+E12*(1+F13)</f>
        <v>98.28224999999999</v>
      </c>
      <c r="G12" s="12">
        <f t="shared" si="2"/>
        <v>102.70495124999998</v>
      </c>
      <c r="H12" s="12">
        <f t="shared" si="2"/>
        <v>107.32667405624997</v>
      </c>
      <c r="I12" s="12">
        <f t="shared" si="2"/>
        <v>112.15637438878122</v>
      </c>
      <c r="J12" s="12">
        <f t="shared" si="2"/>
        <v>117.20341123627637</v>
      </c>
      <c r="K12" s="12">
        <f t="shared" si="2"/>
        <v>122.4775647419088</v>
      </c>
      <c r="L12" s="12">
        <f t="shared" si="2"/>
        <v>127.98905515529468</v>
      </c>
      <c r="M12" s="12">
        <f t="shared" si="2"/>
        <v>133.74856263728293</v>
      </c>
      <c r="N12" s="12">
        <f t="shared" si="2"/>
        <v>139.76724795596064</v>
      </c>
      <c r="O12" s="12">
        <f t="shared" si="2"/>
        <v>146.05677411397886</v>
      </c>
      <c r="P12" s="12">
        <f t="shared" si="2"/>
        <v>152.6293289491079</v>
      </c>
      <c r="Q12" s="12">
        <f>+P12*4</f>
        <v>610.5173157964316</v>
      </c>
      <c r="R12" s="12">
        <f>+Q12*(1+R13)</f>
        <v>702.0949131658963</v>
      </c>
      <c r="S12" s="12">
        <f>+R12*(1+S13)</f>
        <v>807.4091501407806</v>
      </c>
      <c r="T12" s="12">
        <f>+S12*(1+T13)</f>
        <v>928.5205226618976</v>
      </c>
      <c r="U12" s="12">
        <f>+T12*(1+U13)</f>
        <v>1067.7986010611821</v>
      </c>
      <c r="V12" s="12">
        <f>+U12*(1+V13)</f>
        <v>1227.9683912203593</v>
      </c>
      <c r="X12" s="9"/>
      <c r="Y12" s="11"/>
    </row>
    <row r="13" spans="1:25" s="2" customFormat="1" ht="12.75">
      <c r="A13" s="31"/>
      <c r="B13" s="73" t="s">
        <v>76</v>
      </c>
      <c r="C13" s="75"/>
      <c r="D13" s="76"/>
      <c r="E13" s="77">
        <f>+E5</f>
        <v>0.045</v>
      </c>
      <c r="F13" s="77">
        <f aca="true" t="shared" si="3" ref="F13:R13">+F5</f>
        <v>0.045</v>
      </c>
      <c r="G13" s="77">
        <f t="shared" si="3"/>
        <v>0.045</v>
      </c>
      <c r="H13" s="77">
        <f t="shared" si="3"/>
        <v>0.045</v>
      </c>
      <c r="I13" s="77">
        <f t="shared" si="3"/>
        <v>0.045</v>
      </c>
      <c r="J13" s="77">
        <f t="shared" si="3"/>
        <v>0.045</v>
      </c>
      <c r="K13" s="77">
        <f t="shared" si="3"/>
        <v>0.045</v>
      </c>
      <c r="L13" s="77">
        <f t="shared" si="3"/>
        <v>0.045</v>
      </c>
      <c r="M13" s="77">
        <f t="shared" si="3"/>
        <v>0.045</v>
      </c>
      <c r="N13" s="77">
        <f t="shared" si="3"/>
        <v>0.045</v>
      </c>
      <c r="O13" s="77">
        <f t="shared" si="3"/>
        <v>0.045</v>
      </c>
      <c r="P13" s="77">
        <f t="shared" si="3"/>
        <v>0.045</v>
      </c>
      <c r="Q13" s="77">
        <f t="shared" si="3"/>
        <v>0.15</v>
      </c>
      <c r="R13" s="77">
        <f t="shared" si="3"/>
        <v>0.15</v>
      </c>
      <c r="S13" s="77">
        <f>+S5</f>
        <v>0.15</v>
      </c>
      <c r="T13" s="77">
        <f>+T5</f>
        <v>0.15</v>
      </c>
      <c r="U13" s="77">
        <f>+U5</f>
        <v>0.15</v>
      </c>
      <c r="V13" s="77">
        <f>+V5</f>
        <v>0.15</v>
      </c>
      <c r="X13" s="9"/>
      <c r="Y13" s="11"/>
    </row>
    <row r="14" spans="1:22" s="111" customFormat="1" ht="12.75">
      <c r="A14" s="109"/>
      <c r="B14" s="110" t="s">
        <v>78</v>
      </c>
      <c r="D14" s="106">
        <v>0.3</v>
      </c>
      <c r="E14" s="111">
        <f>+D14</f>
        <v>0.3</v>
      </c>
      <c r="F14" s="111">
        <f aca="true" t="shared" si="4" ref="F14:R14">+E14</f>
        <v>0.3</v>
      </c>
      <c r="G14" s="111">
        <f t="shared" si="4"/>
        <v>0.3</v>
      </c>
      <c r="H14" s="111">
        <f t="shared" si="4"/>
        <v>0.3</v>
      </c>
      <c r="I14" s="111">
        <f t="shared" si="4"/>
        <v>0.3</v>
      </c>
      <c r="J14" s="111">
        <f t="shared" si="4"/>
        <v>0.3</v>
      </c>
      <c r="K14" s="111">
        <f t="shared" si="4"/>
        <v>0.3</v>
      </c>
      <c r="L14" s="111">
        <f t="shared" si="4"/>
        <v>0.3</v>
      </c>
      <c r="M14" s="111">
        <f t="shared" si="4"/>
        <v>0.3</v>
      </c>
      <c r="N14" s="111">
        <f t="shared" si="4"/>
        <v>0.3</v>
      </c>
      <c r="O14" s="111">
        <f t="shared" si="4"/>
        <v>0.3</v>
      </c>
      <c r="P14" s="111">
        <f t="shared" si="4"/>
        <v>0.3</v>
      </c>
      <c r="Q14" s="111">
        <f t="shared" si="4"/>
        <v>0.3</v>
      </c>
      <c r="R14" s="111">
        <f t="shared" si="4"/>
        <v>0.3</v>
      </c>
      <c r="S14" s="111">
        <f>+R14</f>
        <v>0.3</v>
      </c>
      <c r="T14" s="111">
        <f>+S14</f>
        <v>0.3</v>
      </c>
      <c r="U14" s="111">
        <f>+T14</f>
        <v>0.3</v>
      </c>
      <c r="V14" s="111">
        <f>+U14</f>
        <v>0.3</v>
      </c>
    </row>
    <row r="15" spans="1:25" s="2" customFormat="1" ht="12.75">
      <c r="A15" s="31"/>
      <c r="B15" s="26" t="s">
        <v>75</v>
      </c>
      <c r="C15" s="3"/>
      <c r="D15" s="74">
        <f>+D12*D14</f>
        <v>27</v>
      </c>
      <c r="E15" s="80">
        <f aca="true" t="shared" si="5" ref="E15:R15">+E12*E14</f>
        <v>28.215</v>
      </c>
      <c r="F15" s="80">
        <f t="shared" si="5"/>
        <v>29.484674999999996</v>
      </c>
      <c r="G15" s="80">
        <f t="shared" si="5"/>
        <v>30.811485374999993</v>
      </c>
      <c r="H15" s="80">
        <f t="shared" si="5"/>
        <v>32.19800221687499</v>
      </c>
      <c r="I15" s="80">
        <f t="shared" si="5"/>
        <v>33.64691231663436</v>
      </c>
      <c r="J15" s="80">
        <f t="shared" si="5"/>
        <v>35.16102337088291</v>
      </c>
      <c r="K15" s="80">
        <f t="shared" si="5"/>
        <v>36.74326942257264</v>
      </c>
      <c r="L15" s="80">
        <f t="shared" si="5"/>
        <v>38.3967165465884</v>
      </c>
      <c r="M15" s="80">
        <f t="shared" si="5"/>
        <v>40.12456879118488</v>
      </c>
      <c r="N15" s="80">
        <f t="shared" si="5"/>
        <v>41.93017438678819</v>
      </c>
      <c r="O15" s="80">
        <f t="shared" si="5"/>
        <v>43.817032234193654</v>
      </c>
      <c r="P15" s="80">
        <f t="shared" si="5"/>
        <v>45.78879868473237</v>
      </c>
      <c r="Q15" s="80">
        <f t="shared" si="5"/>
        <v>183.15519473892948</v>
      </c>
      <c r="R15" s="80">
        <f t="shared" si="5"/>
        <v>210.62847394976887</v>
      </c>
      <c r="S15" s="80">
        <f>+S12*S14</f>
        <v>242.22274504223418</v>
      </c>
      <c r="T15" s="80">
        <f>+T12*T14</f>
        <v>278.5561567985693</v>
      </c>
      <c r="U15" s="80">
        <f>+U12*U14</f>
        <v>320.33958031835465</v>
      </c>
      <c r="V15" s="80">
        <f>+V12*V14</f>
        <v>368.39051736610776</v>
      </c>
      <c r="X15" s="9"/>
      <c r="Y15" s="11"/>
    </row>
    <row r="16" spans="1:25" s="2" customFormat="1" ht="12.75">
      <c r="A16" s="31"/>
      <c r="B16" s="72"/>
      <c r="C16" s="3"/>
      <c r="D16" s="4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9"/>
      <c r="Y16" s="11"/>
    </row>
    <row r="17" spans="1:25" s="2" customFormat="1" ht="12.75">
      <c r="A17" s="31"/>
      <c r="B17" s="72" t="s">
        <v>74</v>
      </c>
      <c r="C17" s="3"/>
      <c r="D17" s="47">
        <v>223.3</v>
      </c>
      <c r="E17" s="12">
        <f>+D17*(1+E18)</f>
        <v>213.47480000000002</v>
      </c>
      <c r="F17" s="12">
        <f aca="true" t="shared" si="6" ref="F17:R17">+E17*(1+F18)</f>
        <v>204.0819088</v>
      </c>
      <c r="G17" s="12">
        <f t="shared" si="6"/>
        <v>195.10230481279999</v>
      </c>
      <c r="H17" s="12">
        <f t="shared" si="6"/>
        <v>186.5178034010368</v>
      </c>
      <c r="I17" s="12">
        <f t="shared" si="6"/>
        <v>178.31102005139115</v>
      </c>
      <c r="J17" s="12">
        <f t="shared" si="6"/>
        <v>170.46533516912993</v>
      </c>
      <c r="K17" s="12">
        <f t="shared" si="6"/>
        <v>162.9648604216882</v>
      </c>
      <c r="L17" s="12">
        <f t="shared" si="6"/>
        <v>155.79440656313392</v>
      </c>
      <c r="M17" s="12">
        <f t="shared" si="6"/>
        <v>148.93945267435603</v>
      </c>
      <c r="N17" s="12">
        <f t="shared" si="6"/>
        <v>142.38611675668437</v>
      </c>
      <c r="O17" s="12">
        <f t="shared" si="6"/>
        <v>136.12112761939025</v>
      </c>
      <c r="P17" s="12">
        <f t="shared" si="6"/>
        <v>130.13179800413707</v>
      </c>
      <c r="Q17" s="12">
        <f>+P17*4</f>
        <v>520.5271920165483</v>
      </c>
      <c r="R17" s="12">
        <f t="shared" si="6"/>
        <v>442.44811321406604</v>
      </c>
      <c r="S17" s="12">
        <f>+R17*(1+S18)</f>
        <v>442.44811321406604</v>
      </c>
      <c r="T17" s="12">
        <f>+S17*(1+T18)</f>
        <v>442.44811321406604</v>
      </c>
      <c r="U17" s="12">
        <f>+T17*(1+U18)</f>
        <v>442.44811321406604</v>
      </c>
      <c r="V17" s="12">
        <f>+U17*(1+V18)</f>
        <v>442.44811321406604</v>
      </c>
      <c r="X17" s="9"/>
      <c r="Y17" s="11"/>
    </row>
    <row r="18" spans="1:25" s="2" customFormat="1" ht="12.75">
      <c r="A18" s="31"/>
      <c r="B18" s="73" t="s">
        <v>79</v>
      </c>
      <c r="C18" s="3"/>
      <c r="D18" s="47"/>
      <c r="E18" s="78">
        <f>+E6</f>
        <v>-0.044</v>
      </c>
      <c r="F18" s="78">
        <f aca="true" t="shared" si="7" ref="F18:R18">+F6</f>
        <v>-0.044</v>
      </c>
      <c r="G18" s="78">
        <f t="shared" si="7"/>
        <v>-0.044</v>
      </c>
      <c r="H18" s="78">
        <f t="shared" si="7"/>
        <v>-0.044</v>
      </c>
      <c r="I18" s="78">
        <f t="shared" si="7"/>
        <v>-0.044</v>
      </c>
      <c r="J18" s="78">
        <f t="shared" si="7"/>
        <v>-0.044</v>
      </c>
      <c r="K18" s="78">
        <f t="shared" si="7"/>
        <v>-0.044</v>
      </c>
      <c r="L18" s="78">
        <f t="shared" si="7"/>
        <v>-0.044</v>
      </c>
      <c r="M18" s="78">
        <f t="shared" si="7"/>
        <v>-0.044</v>
      </c>
      <c r="N18" s="78">
        <f t="shared" si="7"/>
        <v>-0.044</v>
      </c>
      <c r="O18" s="78">
        <f t="shared" si="7"/>
        <v>-0.044</v>
      </c>
      <c r="P18" s="78">
        <f t="shared" si="7"/>
        <v>-0.044</v>
      </c>
      <c r="Q18" s="78">
        <f t="shared" si="7"/>
        <v>-0.15</v>
      </c>
      <c r="R18" s="78">
        <f t="shared" si="7"/>
        <v>-0.15</v>
      </c>
      <c r="S18" s="78">
        <f>+S6</f>
        <v>0</v>
      </c>
      <c r="T18" s="78">
        <f>+T6</f>
        <v>0</v>
      </c>
      <c r="U18" s="78">
        <f>+U6</f>
        <v>0</v>
      </c>
      <c r="V18" s="78">
        <f>+V6</f>
        <v>0</v>
      </c>
      <c r="X18" s="9"/>
      <c r="Y18" s="11"/>
    </row>
    <row r="19" spans="1:23" s="111" customFormat="1" ht="15">
      <c r="A19" s="109"/>
      <c r="B19" s="110" t="s">
        <v>78</v>
      </c>
      <c r="C19" s="112"/>
      <c r="D19" s="106">
        <v>0.538</v>
      </c>
      <c r="E19" s="107">
        <f>+D19</f>
        <v>0.538</v>
      </c>
      <c r="F19" s="107">
        <v>0.535</v>
      </c>
      <c r="G19" s="107">
        <v>0.53</v>
      </c>
      <c r="H19" s="107">
        <v>0.53</v>
      </c>
      <c r="I19" s="107">
        <v>0.525</v>
      </c>
      <c r="J19" s="107">
        <v>0.52</v>
      </c>
      <c r="K19" s="107">
        <v>0.515</v>
      </c>
      <c r="L19" s="107">
        <v>0.51</v>
      </c>
      <c r="M19" s="107">
        <v>0.51</v>
      </c>
      <c r="N19" s="107">
        <v>0.51</v>
      </c>
      <c r="O19" s="107">
        <v>0.51</v>
      </c>
      <c r="P19" s="107">
        <v>0.51</v>
      </c>
      <c r="Q19" s="107">
        <v>0.51</v>
      </c>
      <c r="R19" s="107">
        <v>0.51</v>
      </c>
      <c r="S19" s="107">
        <v>0.51</v>
      </c>
      <c r="T19" s="107">
        <v>0.51</v>
      </c>
      <c r="U19" s="107">
        <v>0.51</v>
      </c>
      <c r="V19" s="107">
        <v>0.51</v>
      </c>
      <c r="W19" s="128" t="s">
        <v>111</v>
      </c>
    </row>
    <row r="20" spans="1:25" s="2" customFormat="1" ht="12.75">
      <c r="A20" s="31"/>
      <c r="B20" s="26" t="s">
        <v>77</v>
      </c>
      <c r="C20" s="3"/>
      <c r="D20" s="74">
        <f>+D17*D19</f>
        <v>120.13540000000002</v>
      </c>
      <c r="E20" s="80">
        <f>+E17*E19</f>
        <v>114.84944240000002</v>
      </c>
      <c r="F20" s="80">
        <f aca="true" t="shared" si="8" ref="F20:R20">+F17*F19</f>
        <v>109.18382120800001</v>
      </c>
      <c r="G20" s="80">
        <f t="shared" si="8"/>
        <v>103.404221550784</v>
      </c>
      <c r="H20" s="80">
        <f t="shared" si="8"/>
        <v>98.8544358025495</v>
      </c>
      <c r="I20" s="80">
        <f t="shared" si="8"/>
        <v>93.61328552698036</v>
      </c>
      <c r="J20" s="80">
        <f t="shared" si="8"/>
        <v>88.64197428794756</v>
      </c>
      <c r="K20" s="80">
        <f t="shared" si="8"/>
        <v>83.92690311716943</v>
      </c>
      <c r="L20" s="80">
        <f t="shared" si="8"/>
        <v>79.4551473471983</v>
      </c>
      <c r="M20" s="80">
        <f t="shared" si="8"/>
        <v>75.95912086392158</v>
      </c>
      <c r="N20" s="80">
        <f t="shared" si="8"/>
        <v>72.61691954590903</v>
      </c>
      <c r="O20" s="80">
        <f t="shared" si="8"/>
        <v>69.42177508588902</v>
      </c>
      <c r="P20" s="80">
        <f t="shared" si="8"/>
        <v>66.36721698210991</v>
      </c>
      <c r="Q20" s="80">
        <f t="shared" si="8"/>
        <v>265.46886792843964</v>
      </c>
      <c r="R20" s="80">
        <f t="shared" si="8"/>
        <v>225.6485377391737</v>
      </c>
      <c r="S20" s="80">
        <f>+S17*S19</f>
        <v>225.6485377391737</v>
      </c>
      <c r="T20" s="80">
        <f>+T17*T19</f>
        <v>225.6485377391737</v>
      </c>
      <c r="U20" s="80">
        <f>+U17*U19</f>
        <v>225.6485377391737</v>
      </c>
      <c r="V20" s="80">
        <f>+V17*V19</f>
        <v>225.6485377391737</v>
      </c>
      <c r="X20" s="9"/>
      <c r="Y20" s="11"/>
    </row>
    <row r="21" spans="1:25" s="2" customFormat="1" ht="12.75">
      <c r="A21" s="31"/>
      <c r="B21" s="73"/>
      <c r="C21" s="3"/>
      <c r="D21" s="4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9"/>
      <c r="Y21" s="11"/>
    </row>
    <row r="22" spans="1:25" s="2" customFormat="1" ht="12.75">
      <c r="A22" s="31"/>
      <c r="B22" s="73" t="s">
        <v>80</v>
      </c>
      <c r="C22" s="3"/>
      <c r="D22" s="47">
        <f>+D12+D17</f>
        <v>313.3</v>
      </c>
      <c r="E22" s="12">
        <f>+E12+E17</f>
        <v>307.5248</v>
      </c>
      <c r="F22" s="12">
        <f aca="true" t="shared" si="9" ref="F22:R22">+F12+F17</f>
        <v>302.3641588</v>
      </c>
      <c r="G22" s="12">
        <f t="shared" si="9"/>
        <v>297.8072560628</v>
      </c>
      <c r="H22" s="12">
        <f t="shared" si="9"/>
        <v>293.84447745728676</v>
      </c>
      <c r="I22" s="12">
        <f t="shared" si="9"/>
        <v>290.46739444017237</v>
      </c>
      <c r="J22" s="12">
        <f t="shared" si="9"/>
        <v>287.6687464054063</v>
      </c>
      <c r="K22" s="12">
        <f t="shared" si="9"/>
        <v>285.442425163597</v>
      </c>
      <c r="L22" s="12">
        <f t="shared" si="9"/>
        <v>283.7834617184286</v>
      </c>
      <c r="M22" s="12">
        <f t="shared" si="9"/>
        <v>282.688015311639</v>
      </c>
      <c r="N22" s="12">
        <f t="shared" si="9"/>
        <v>282.15336471264504</v>
      </c>
      <c r="O22" s="12">
        <f t="shared" si="9"/>
        <v>282.17790173336914</v>
      </c>
      <c r="P22" s="12">
        <f t="shared" si="9"/>
        <v>282.76112695324497</v>
      </c>
      <c r="Q22" s="12">
        <f t="shared" si="9"/>
        <v>1131.0445078129799</v>
      </c>
      <c r="R22" s="12">
        <f t="shared" si="9"/>
        <v>1144.5430263799624</v>
      </c>
      <c r="S22" s="12">
        <f>+S12+S17</f>
        <v>1249.8572633548467</v>
      </c>
      <c r="T22" s="12">
        <f>+T12+T17</f>
        <v>1370.9686358759636</v>
      </c>
      <c r="U22" s="12">
        <f>+U12+U17</f>
        <v>1510.2467142752482</v>
      </c>
      <c r="V22" s="12">
        <f>+V12+V17</f>
        <v>1670.4165044344254</v>
      </c>
      <c r="X22" s="9"/>
      <c r="Y22" s="11"/>
    </row>
    <row r="23" spans="1:25" s="26" customFormat="1" ht="13.5" thickBot="1">
      <c r="A23" s="32" t="s">
        <v>15</v>
      </c>
      <c r="B23" s="32" t="s">
        <v>112</v>
      </c>
      <c r="C23" s="25"/>
      <c r="D23" s="79">
        <f>+D15+D20</f>
        <v>147.1354</v>
      </c>
      <c r="E23" s="81">
        <f aca="true" t="shared" si="10" ref="E23:R23">+E15+E20</f>
        <v>143.06444240000002</v>
      </c>
      <c r="F23" s="81">
        <f t="shared" si="10"/>
        <v>138.66849620800002</v>
      </c>
      <c r="G23" s="81">
        <f t="shared" si="10"/>
        <v>134.215706925784</v>
      </c>
      <c r="H23" s="81">
        <f t="shared" si="10"/>
        <v>131.0524380194245</v>
      </c>
      <c r="I23" s="81">
        <f t="shared" si="10"/>
        <v>127.26019784361472</v>
      </c>
      <c r="J23" s="81">
        <f t="shared" si="10"/>
        <v>123.80299765883046</v>
      </c>
      <c r="K23" s="81">
        <f t="shared" si="10"/>
        <v>120.67017253974207</v>
      </c>
      <c r="L23" s="81">
        <f t="shared" si="10"/>
        <v>117.85186389378671</v>
      </c>
      <c r="M23" s="81">
        <f t="shared" si="10"/>
        <v>116.08368965510647</v>
      </c>
      <c r="N23" s="81">
        <f t="shared" si="10"/>
        <v>114.54709393269721</v>
      </c>
      <c r="O23" s="81">
        <f t="shared" si="10"/>
        <v>113.23880732008269</v>
      </c>
      <c r="P23" s="81">
        <f t="shared" si="10"/>
        <v>112.15601566684228</v>
      </c>
      <c r="Q23" s="81">
        <f t="shared" si="10"/>
        <v>448.6240626673691</v>
      </c>
      <c r="R23" s="81">
        <f t="shared" si="10"/>
        <v>436.2770116889426</v>
      </c>
      <c r="S23" s="81">
        <f>+S15+S20</f>
        <v>467.8712827814079</v>
      </c>
      <c r="T23" s="81">
        <f>+T15+T20</f>
        <v>504.20469453774297</v>
      </c>
      <c r="U23" s="81">
        <f>+U15+U20</f>
        <v>545.9881180575284</v>
      </c>
      <c r="V23" s="81">
        <f>+V15+V20</f>
        <v>594.0390551052815</v>
      </c>
      <c r="X23" s="28"/>
      <c r="Y23" s="29"/>
    </row>
    <row r="24" spans="1:25" s="26" customFormat="1" ht="13.5" thickTop="1">
      <c r="A24" s="32"/>
      <c r="B24" s="26" t="s">
        <v>81</v>
      </c>
      <c r="C24" s="25"/>
      <c r="D24" s="82">
        <f>+D23/D22</f>
        <v>0.46963102457708267</v>
      </c>
      <c r="E24" s="83">
        <f>+E23/E22</f>
        <v>0.4652126995936588</v>
      </c>
      <c r="F24" s="83">
        <f>+F23/F22</f>
        <v>0.45861419805289444</v>
      </c>
      <c r="G24" s="83">
        <f aca="true" t="shared" si="11" ref="G24:R24">+G23/G22</f>
        <v>0.45067977422780225</v>
      </c>
      <c r="H24" s="83">
        <f t="shared" si="11"/>
        <v>0.4459925166994989</v>
      </c>
      <c r="I24" s="83">
        <f t="shared" si="11"/>
        <v>0.43812214478973655</v>
      </c>
      <c r="J24" s="83">
        <f t="shared" si="11"/>
        <v>0.430366521236051</v>
      </c>
      <c r="K24" s="83">
        <f t="shared" si="11"/>
        <v>0.42274785351400296</v>
      </c>
      <c r="L24" s="83">
        <f t="shared" si="11"/>
        <v>0.4152879916967111</v>
      </c>
      <c r="M24" s="83">
        <f t="shared" si="11"/>
        <v>0.41064241625926123</v>
      </c>
      <c r="N24" s="83">
        <f t="shared" si="11"/>
        <v>0.40597458070137143</v>
      </c>
      <c r="O24" s="83">
        <f t="shared" si="11"/>
        <v>0.40130288950508397</v>
      </c>
      <c r="P24" s="83">
        <f t="shared" si="11"/>
        <v>0.3966458079840213</v>
      </c>
      <c r="Q24" s="83">
        <f t="shared" si="11"/>
        <v>0.3966458079840213</v>
      </c>
      <c r="R24" s="83">
        <f t="shared" si="11"/>
        <v>0.3811800881517131</v>
      </c>
      <c r="S24" s="83">
        <f>+S23/S22</f>
        <v>0.3743397718276688</v>
      </c>
      <c r="T24" s="83">
        <f>+T23/T22</f>
        <v>0.36777259620938557</v>
      </c>
      <c r="U24" s="83">
        <f>+U23/U22</f>
        <v>0.36152246708879116</v>
      </c>
      <c r="V24" s="83">
        <f>+V23/V22</f>
        <v>0.35562331522006424</v>
      </c>
      <c r="X24" s="28"/>
      <c r="Y24" s="29"/>
    </row>
    <row r="25" spans="1:25" s="2" customFormat="1" ht="12.75">
      <c r="A25" s="31"/>
      <c r="B25" s="103"/>
      <c r="C25" s="3"/>
      <c r="D25" s="44"/>
      <c r="X25" s="9"/>
      <c r="Y25" s="11"/>
    </row>
    <row r="26" spans="1:25" s="26" customFormat="1" ht="12.75">
      <c r="A26" s="32"/>
      <c r="B26" s="25"/>
      <c r="C26" s="25"/>
      <c r="D26" s="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X26" s="28"/>
      <c r="Y26" s="29"/>
    </row>
    <row r="27" spans="1:25" s="2" customFormat="1" ht="12.75">
      <c r="A27" s="31"/>
      <c r="B27" s="53" t="s">
        <v>47</v>
      </c>
      <c r="D27" s="47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9"/>
      <c r="Y27" s="11"/>
    </row>
    <row r="28" spans="1:25" s="2" customFormat="1" ht="12.75">
      <c r="A28" s="31"/>
      <c r="B28" s="25" t="s">
        <v>17</v>
      </c>
      <c r="D28" s="4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X28" s="9"/>
      <c r="Y28" s="11"/>
    </row>
    <row r="29" spans="1:25" s="2" customFormat="1" ht="12.75">
      <c r="A29" s="31"/>
      <c r="B29" s="1" t="s">
        <v>89</v>
      </c>
      <c r="D29" s="47">
        <f>266*0.05/4</f>
        <v>3.325</v>
      </c>
      <c r="E29" s="12">
        <v>2.07</v>
      </c>
      <c r="F29" s="12">
        <v>1.7825</v>
      </c>
      <c r="G29" s="12">
        <v>1.495</v>
      </c>
      <c r="H29" s="12">
        <v>1.2075</v>
      </c>
      <c r="I29" s="12">
        <v>0.92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X29" s="9"/>
      <c r="Y29" s="11"/>
    </row>
    <row r="30" spans="1:25" s="2" customFormat="1" ht="12.75">
      <c r="A30" s="31"/>
      <c r="B30" s="1" t="s">
        <v>90</v>
      </c>
      <c r="D30" s="47"/>
      <c r="E30" s="12">
        <f>+Y65/4</f>
        <v>2.629</v>
      </c>
      <c r="F30" s="12">
        <f>+E30</f>
        <v>2.629</v>
      </c>
      <c r="G30" s="12">
        <f>+F30</f>
        <v>2.629</v>
      </c>
      <c r="H30" s="12">
        <f>+G30</f>
        <v>2.629</v>
      </c>
      <c r="I30" s="12">
        <f>+H30*0.5</f>
        <v>1.3145</v>
      </c>
      <c r="J30" s="12"/>
      <c r="K30" s="12"/>
      <c r="L30" s="12"/>
      <c r="M30" s="27">
        <v>1.65</v>
      </c>
      <c r="N30" s="27">
        <v>1.65</v>
      </c>
      <c r="O30" s="27">
        <v>1.65</v>
      </c>
      <c r="P30" s="27">
        <v>1.65</v>
      </c>
      <c r="Q30" s="12"/>
      <c r="R30" s="12"/>
      <c r="S30" s="12"/>
      <c r="T30" s="12"/>
      <c r="U30" s="12"/>
      <c r="V30" s="12"/>
      <c r="X30" s="9"/>
      <c r="Y30" s="11"/>
    </row>
    <row r="31" spans="1:25" s="2" customFormat="1" ht="12.75">
      <c r="A31" s="31"/>
      <c r="B31" s="1" t="s">
        <v>25</v>
      </c>
      <c r="C31" s="68" t="s">
        <v>65</v>
      </c>
      <c r="D31" s="47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31" s="9"/>
      <c r="Y31" s="11"/>
    </row>
    <row r="32" spans="1:25" s="2" customFormat="1" ht="12.75">
      <c r="A32" s="31"/>
      <c r="B32" s="1" t="s">
        <v>34</v>
      </c>
      <c r="D32" s="47">
        <f aca="true" t="shared" si="12" ref="D32:K32">+$Y67/4</f>
        <v>2.875</v>
      </c>
      <c r="E32" s="12">
        <f t="shared" si="12"/>
        <v>2.875</v>
      </c>
      <c r="F32" s="12">
        <f t="shared" si="12"/>
        <v>2.875</v>
      </c>
      <c r="G32" s="12">
        <f t="shared" si="12"/>
        <v>2.875</v>
      </c>
      <c r="H32" s="12">
        <f t="shared" si="12"/>
        <v>2.875</v>
      </c>
      <c r="I32" s="12">
        <f t="shared" si="12"/>
        <v>2.875</v>
      </c>
      <c r="J32" s="12">
        <f t="shared" si="12"/>
        <v>2.875</v>
      </c>
      <c r="K32" s="12">
        <f t="shared" si="12"/>
        <v>2.875</v>
      </c>
      <c r="L32" s="127">
        <v>0.9</v>
      </c>
      <c r="M32" s="127">
        <f>+$Y67/4*0</f>
        <v>0</v>
      </c>
      <c r="N32" s="127">
        <f>+M32</f>
        <v>0</v>
      </c>
      <c r="O32" s="127">
        <f>+N32</f>
        <v>0</v>
      </c>
      <c r="P32" s="127">
        <f>+O32</f>
        <v>0</v>
      </c>
      <c r="Q32" s="127">
        <f>+P32*4</f>
        <v>0</v>
      </c>
      <c r="R32" s="127">
        <f>+Q32</f>
        <v>0</v>
      </c>
      <c r="S32" s="127">
        <f>+R32</f>
        <v>0</v>
      </c>
      <c r="T32" s="127">
        <f>+S32</f>
        <v>0</v>
      </c>
      <c r="U32" s="127">
        <f>+T32</f>
        <v>0</v>
      </c>
      <c r="V32" s="127">
        <f>+U32</f>
        <v>0</v>
      </c>
      <c r="X32" s="9"/>
      <c r="Y32" s="11"/>
    </row>
    <row r="33" spans="1:25" s="2" customFormat="1" ht="12.75">
      <c r="A33" s="31"/>
      <c r="B33" s="1" t="s">
        <v>14</v>
      </c>
      <c r="D33" s="47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X33" s="9"/>
      <c r="Y33" s="11"/>
    </row>
    <row r="34" spans="1:25" s="2" customFormat="1" ht="12.75">
      <c r="A34" s="31"/>
      <c r="B34" s="7" t="s">
        <v>27</v>
      </c>
      <c r="D34" s="47">
        <f aca="true" t="shared" si="13" ref="D34:P41">+$Y69/4</f>
        <v>2.1125000000000003</v>
      </c>
      <c r="E34" s="12">
        <f t="shared" si="13"/>
        <v>2.1125000000000003</v>
      </c>
      <c r="F34" s="12">
        <f t="shared" si="13"/>
        <v>2.1125000000000003</v>
      </c>
      <c r="G34" s="12">
        <f t="shared" si="13"/>
        <v>2.1125000000000003</v>
      </c>
      <c r="H34" s="12">
        <f t="shared" si="13"/>
        <v>2.1125000000000003</v>
      </c>
      <c r="I34" s="12">
        <f t="shared" si="13"/>
        <v>2.1125000000000003</v>
      </c>
      <c r="J34" s="12">
        <f t="shared" si="13"/>
        <v>2.1125000000000003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X34" s="9"/>
      <c r="Y34" s="11"/>
    </row>
    <row r="35" spans="1:25" s="2" customFormat="1" ht="12.75">
      <c r="A35" s="31"/>
      <c r="B35" s="1" t="s">
        <v>26</v>
      </c>
      <c r="D35" s="47">
        <f t="shared" si="13"/>
        <v>2.140625</v>
      </c>
      <c r="E35" s="12">
        <f t="shared" si="13"/>
        <v>2.140625</v>
      </c>
      <c r="F35" s="12">
        <f t="shared" si="13"/>
        <v>2.140625</v>
      </c>
      <c r="G35" s="12">
        <f t="shared" si="13"/>
        <v>2.140625</v>
      </c>
      <c r="H35" s="12">
        <f t="shared" si="13"/>
        <v>2.140625</v>
      </c>
      <c r="I35" s="12">
        <f t="shared" si="13"/>
        <v>2.140625</v>
      </c>
      <c r="J35" s="12">
        <f t="shared" si="13"/>
        <v>2.140625</v>
      </c>
      <c r="K35" s="12">
        <f t="shared" si="13"/>
        <v>2.140625</v>
      </c>
      <c r="L35" s="12">
        <f t="shared" si="13"/>
        <v>2.140625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X35" s="9"/>
      <c r="Y35" s="11"/>
    </row>
    <row r="36" spans="1:25" s="2" customFormat="1" ht="12.75">
      <c r="A36" s="31"/>
      <c r="B36" s="1" t="s">
        <v>28</v>
      </c>
      <c r="D36" s="47">
        <f t="shared" si="13"/>
        <v>3.640125</v>
      </c>
      <c r="E36" s="12">
        <f t="shared" si="13"/>
        <v>3.640125</v>
      </c>
      <c r="F36" s="12">
        <f t="shared" si="13"/>
        <v>3.640125</v>
      </c>
      <c r="G36" s="12">
        <f t="shared" si="13"/>
        <v>3.640125</v>
      </c>
      <c r="H36" s="12">
        <f t="shared" si="13"/>
        <v>3.640125</v>
      </c>
      <c r="I36" s="12">
        <f t="shared" si="13"/>
        <v>3.640125</v>
      </c>
      <c r="J36" s="12">
        <f t="shared" si="13"/>
        <v>3.640125</v>
      </c>
      <c r="K36" s="12">
        <f t="shared" si="13"/>
        <v>3.640125</v>
      </c>
      <c r="L36" s="12">
        <f t="shared" si="13"/>
        <v>3.640125</v>
      </c>
      <c r="M36" s="12">
        <f t="shared" si="13"/>
        <v>3.640125</v>
      </c>
      <c r="N36" s="12"/>
      <c r="O36" s="12"/>
      <c r="P36" s="12"/>
      <c r="Q36" s="12"/>
      <c r="R36" s="12"/>
      <c r="S36" s="12"/>
      <c r="T36" s="12"/>
      <c r="U36" s="12"/>
      <c r="V36" s="12"/>
      <c r="X36" s="9"/>
      <c r="Y36" s="11"/>
    </row>
    <row r="37" spans="1:25" s="2" customFormat="1" ht="12.75">
      <c r="A37" s="31"/>
      <c r="B37" s="1" t="s">
        <v>29</v>
      </c>
      <c r="D37" s="47">
        <f t="shared" si="13"/>
        <v>2.5185</v>
      </c>
      <c r="E37" s="12">
        <f t="shared" si="13"/>
        <v>2.5185</v>
      </c>
      <c r="F37" s="12">
        <f t="shared" si="13"/>
        <v>2.5185</v>
      </c>
      <c r="G37" s="12">
        <f t="shared" si="13"/>
        <v>2.5185</v>
      </c>
      <c r="H37" s="12">
        <f t="shared" si="13"/>
        <v>2.5185</v>
      </c>
      <c r="I37" s="12">
        <f t="shared" si="13"/>
        <v>2.5185</v>
      </c>
      <c r="J37" s="12">
        <f t="shared" si="13"/>
        <v>2.5185</v>
      </c>
      <c r="K37" s="12">
        <f t="shared" si="13"/>
        <v>2.5185</v>
      </c>
      <c r="L37" s="12">
        <f t="shared" si="13"/>
        <v>2.5185</v>
      </c>
      <c r="M37" s="12">
        <f t="shared" si="13"/>
        <v>2.5185</v>
      </c>
      <c r="N37" s="12">
        <f t="shared" si="13"/>
        <v>2.5185</v>
      </c>
      <c r="O37" s="12">
        <f t="shared" si="13"/>
        <v>2.5185</v>
      </c>
      <c r="P37" s="12">
        <f t="shared" si="13"/>
        <v>2.5185</v>
      </c>
      <c r="Q37" s="12">
        <v>1.5</v>
      </c>
      <c r="R37" s="12"/>
      <c r="S37" s="12"/>
      <c r="T37" s="12"/>
      <c r="U37" s="12"/>
      <c r="V37" s="12"/>
      <c r="X37" s="9"/>
      <c r="Y37" s="11"/>
    </row>
    <row r="38" spans="1:25" s="2" customFormat="1" ht="12.75">
      <c r="A38" s="31"/>
      <c r="B38" s="1" t="s">
        <v>30</v>
      </c>
      <c r="D38" s="47">
        <f t="shared" si="13"/>
        <v>4.2</v>
      </c>
      <c r="E38" s="12">
        <f t="shared" si="13"/>
        <v>4.2</v>
      </c>
      <c r="F38" s="12">
        <f t="shared" si="13"/>
        <v>4.2</v>
      </c>
      <c r="G38" s="12">
        <f t="shared" si="13"/>
        <v>4.2</v>
      </c>
      <c r="H38" s="12">
        <f t="shared" si="13"/>
        <v>4.2</v>
      </c>
      <c r="I38" s="12">
        <f t="shared" si="13"/>
        <v>4.2</v>
      </c>
      <c r="J38" s="12">
        <f t="shared" si="13"/>
        <v>4.2</v>
      </c>
      <c r="K38" s="12">
        <f t="shared" si="13"/>
        <v>4.2</v>
      </c>
      <c r="L38" s="12">
        <f t="shared" si="13"/>
        <v>4.2</v>
      </c>
      <c r="M38" s="12">
        <f t="shared" si="13"/>
        <v>4.2</v>
      </c>
      <c r="N38" s="12">
        <f t="shared" si="13"/>
        <v>4.2</v>
      </c>
      <c r="O38" s="12">
        <f t="shared" si="13"/>
        <v>4.2</v>
      </c>
      <c r="P38" s="12">
        <f t="shared" si="13"/>
        <v>4.2</v>
      </c>
      <c r="Q38" s="12">
        <f>+P38*4</f>
        <v>16.8</v>
      </c>
      <c r="R38" s="12">
        <f>+Q38/6</f>
        <v>2.8000000000000003</v>
      </c>
      <c r="S38" s="12"/>
      <c r="T38" s="12"/>
      <c r="U38" s="12"/>
      <c r="V38" s="12"/>
      <c r="X38" s="9"/>
      <c r="Y38" s="11"/>
    </row>
    <row r="39" spans="1:25" s="2" customFormat="1" ht="12.75">
      <c r="A39" s="31"/>
      <c r="B39" s="1" t="s">
        <v>31</v>
      </c>
      <c r="D39" s="47">
        <f t="shared" si="13"/>
        <v>1.769625</v>
      </c>
      <c r="E39" s="12">
        <f t="shared" si="13"/>
        <v>1.769625</v>
      </c>
      <c r="F39" s="12">
        <f t="shared" si="13"/>
        <v>1.769625</v>
      </c>
      <c r="G39" s="12">
        <f t="shared" si="13"/>
        <v>1.769625</v>
      </c>
      <c r="H39" s="12">
        <f t="shared" si="13"/>
        <v>1.769625</v>
      </c>
      <c r="I39" s="12">
        <f t="shared" si="13"/>
        <v>1.769625</v>
      </c>
      <c r="J39" s="12">
        <f t="shared" si="13"/>
        <v>1.769625</v>
      </c>
      <c r="K39" s="12">
        <f t="shared" si="13"/>
        <v>1.769625</v>
      </c>
      <c r="L39" s="12">
        <f t="shared" si="13"/>
        <v>1.769625</v>
      </c>
      <c r="M39" s="12">
        <f t="shared" si="13"/>
        <v>1.769625</v>
      </c>
      <c r="N39" s="12">
        <f t="shared" si="13"/>
        <v>1.769625</v>
      </c>
      <c r="O39" s="12">
        <f t="shared" si="13"/>
        <v>1.769625</v>
      </c>
      <c r="P39" s="12">
        <f t="shared" si="13"/>
        <v>1.769625</v>
      </c>
      <c r="Q39" s="12">
        <f>+P39*4</f>
        <v>7.0785</v>
      </c>
      <c r="R39" s="12">
        <f aca="true" t="shared" si="14" ref="R39:T41">+Q39</f>
        <v>7.0785</v>
      </c>
      <c r="S39" s="12">
        <f t="shared" si="14"/>
        <v>7.0785</v>
      </c>
      <c r="T39" s="12">
        <f t="shared" si="14"/>
        <v>7.0785</v>
      </c>
      <c r="U39" s="12">
        <f>+T39*0.9</f>
        <v>6.37065</v>
      </c>
      <c r="V39" s="12"/>
      <c r="X39" s="9"/>
      <c r="Y39" s="11"/>
    </row>
    <row r="40" spans="1:25" s="2" customFormat="1" ht="12.75">
      <c r="A40" s="31"/>
      <c r="B40" s="1" t="s">
        <v>32</v>
      </c>
      <c r="D40" s="47">
        <f t="shared" si="13"/>
        <v>5.8125</v>
      </c>
      <c r="E40" s="12">
        <f t="shared" si="13"/>
        <v>5.8125</v>
      </c>
      <c r="F40" s="12">
        <f t="shared" si="13"/>
        <v>5.8125</v>
      </c>
      <c r="G40" s="12">
        <f t="shared" si="13"/>
        <v>5.8125</v>
      </c>
      <c r="H40" s="12">
        <f t="shared" si="13"/>
        <v>5.8125</v>
      </c>
      <c r="I40" s="12">
        <f t="shared" si="13"/>
        <v>5.8125</v>
      </c>
      <c r="J40" s="12">
        <f t="shared" si="13"/>
        <v>5.8125</v>
      </c>
      <c r="K40" s="12">
        <f t="shared" si="13"/>
        <v>5.8125</v>
      </c>
      <c r="L40" s="12">
        <f t="shared" si="13"/>
        <v>5.8125</v>
      </c>
      <c r="M40" s="12">
        <f t="shared" si="13"/>
        <v>5.8125</v>
      </c>
      <c r="N40" s="12">
        <f t="shared" si="13"/>
        <v>5.8125</v>
      </c>
      <c r="O40" s="12">
        <f t="shared" si="13"/>
        <v>5.8125</v>
      </c>
      <c r="P40" s="12">
        <f t="shared" si="13"/>
        <v>5.8125</v>
      </c>
      <c r="Q40" s="12">
        <f>+P40*4</f>
        <v>23.25</v>
      </c>
      <c r="R40" s="12">
        <f t="shared" si="14"/>
        <v>23.25</v>
      </c>
      <c r="S40" s="12">
        <f t="shared" si="14"/>
        <v>23.25</v>
      </c>
      <c r="T40" s="12">
        <f t="shared" si="14"/>
        <v>23.25</v>
      </c>
      <c r="U40" s="12">
        <f>+T40</f>
        <v>23.25</v>
      </c>
      <c r="V40" s="12">
        <f>+U40*0.25</f>
        <v>5.8125</v>
      </c>
      <c r="X40" s="9"/>
      <c r="Y40" s="11"/>
    </row>
    <row r="41" spans="1:25" s="2" customFormat="1" ht="12.75">
      <c r="A41" s="31"/>
      <c r="B41" s="1" t="s">
        <v>33</v>
      </c>
      <c r="D41" s="47">
        <f t="shared" si="13"/>
        <v>0.265625</v>
      </c>
      <c r="E41" s="12">
        <f t="shared" si="13"/>
        <v>0.265625</v>
      </c>
      <c r="F41" s="12">
        <f t="shared" si="13"/>
        <v>0.265625</v>
      </c>
      <c r="G41" s="12">
        <f t="shared" si="13"/>
        <v>0.265625</v>
      </c>
      <c r="H41" s="12">
        <f t="shared" si="13"/>
        <v>0.265625</v>
      </c>
      <c r="I41" s="12">
        <f t="shared" si="13"/>
        <v>0.265625</v>
      </c>
      <c r="J41" s="12">
        <f t="shared" si="13"/>
        <v>0.265625</v>
      </c>
      <c r="K41" s="12">
        <f t="shared" si="13"/>
        <v>0.265625</v>
      </c>
      <c r="L41" s="12">
        <f t="shared" si="13"/>
        <v>0.265625</v>
      </c>
      <c r="M41" s="12">
        <f t="shared" si="13"/>
        <v>0.265625</v>
      </c>
      <c r="N41" s="12">
        <f t="shared" si="13"/>
        <v>0.265625</v>
      </c>
      <c r="O41" s="12">
        <f t="shared" si="13"/>
        <v>0.265625</v>
      </c>
      <c r="P41" s="12">
        <f t="shared" si="13"/>
        <v>0.265625</v>
      </c>
      <c r="Q41" s="12">
        <f>+P41*4</f>
        <v>1.0625</v>
      </c>
      <c r="R41" s="12">
        <f t="shared" si="14"/>
        <v>1.0625</v>
      </c>
      <c r="S41" s="12">
        <f t="shared" si="14"/>
        <v>1.0625</v>
      </c>
      <c r="T41" s="12">
        <f t="shared" si="14"/>
        <v>1.0625</v>
      </c>
      <c r="U41" s="12">
        <f>+T41</f>
        <v>1.0625</v>
      </c>
      <c r="V41" s="12">
        <f>+U41</f>
        <v>1.0625</v>
      </c>
      <c r="X41" s="9"/>
      <c r="Y41" s="11"/>
    </row>
    <row r="42" spans="1:25" s="2" customFormat="1" ht="12.75">
      <c r="A42" s="31"/>
      <c r="B42" s="19" t="s">
        <v>101</v>
      </c>
      <c r="D42" s="47">
        <f>35.6-28.7</f>
        <v>6.900000000000002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X42" s="9"/>
      <c r="Y42" s="11"/>
    </row>
    <row r="43" spans="1:25" s="2" customFormat="1" ht="12.75">
      <c r="A43" s="31"/>
      <c r="B43" s="25" t="s">
        <v>39</v>
      </c>
      <c r="D43" s="47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43" s="9"/>
      <c r="Y43" s="11"/>
    </row>
    <row r="44" spans="1:25" s="2" customFormat="1" ht="12.75">
      <c r="A44" s="31"/>
      <c r="B44" s="2" t="s">
        <v>18</v>
      </c>
      <c r="D44" s="47">
        <v>27.3</v>
      </c>
      <c r="E44" s="12">
        <v>32.5</v>
      </c>
      <c r="F44" s="12">
        <f aca="true" t="shared" si="15" ref="F44:P44">+E44</f>
        <v>32.5</v>
      </c>
      <c r="G44" s="12">
        <f t="shared" si="15"/>
        <v>32.5</v>
      </c>
      <c r="H44" s="12">
        <f t="shared" si="15"/>
        <v>32.5</v>
      </c>
      <c r="I44" s="12">
        <v>35</v>
      </c>
      <c r="J44" s="12">
        <f t="shared" si="15"/>
        <v>35</v>
      </c>
      <c r="K44" s="12">
        <f t="shared" si="15"/>
        <v>35</v>
      </c>
      <c r="L44" s="12">
        <f t="shared" si="15"/>
        <v>35</v>
      </c>
      <c r="M44" s="12">
        <f t="shared" si="15"/>
        <v>35</v>
      </c>
      <c r="N44" s="12">
        <f t="shared" si="15"/>
        <v>35</v>
      </c>
      <c r="O44" s="12">
        <f t="shared" si="15"/>
        <v>35</v>
      </c>
      <c r="P44" s="12">
        <f t="shared" si="15"/>
        <v>35</v>
      </c>
      <c r="Q44" s="12">
        <f>+P44*4</f>
        <v>140</v>
      </c>
      <c r="R44" s="12">
        <f>+Q44</f>
        <v>140</v>
      </c>
      <c r="S44" s="12">
        <f>+R44</f>
        <v>140</v>
      </c>
      <c r="T44" s="12">
        <f>+S44</f>
        <v>140</v>
      </c>
      <c r="U44" s="12">
        <f>+T44</f>
        <v>140</v>
      </c>
      <c r="V44" s="12">
        <f>+U44</f>
        <v>140</v>
      </c>
      <c r="X44" s="9"/>
      <c r="Y44" s="11"/>
    </row>
    <row r="45" spans="1:25" s="2" customFormat="1" ht="12.75">
      <c r="A45" s="31"/>
      <c r="B45" s="2" t="s">
        <v>13</v>
      </c>
      <c r="D45" s="47"/>
      <c r="E45" s="12">
        <v>0</v>
      </c>
      <c r="F45" s="12">
        <f>+E45</f>
        <v>0</v>
      </c>
      <c r="G45" s="12">
        <f>+F45</f>
        <v>0</v>
      </c>
      <c r="H45" s="12">
        <f>+G45</f>
        <v>0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X45" s="9"/>
      <c r="Y45" s="11"/>
    </row>
    <row r="46" spans="1:25" s="2" customFormat="1" ht="12.75">
      <c r="A46" s="31"/>
      <c r="D46" s="4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X46" s="9"/>
      <c r="Y46" s="11"/>
    </row>
    <row r="47" spans="1:25" s="2" customFormat="1" ht="12.75">
      <c r="A47" s="31"/>
      <c r="B47" s="2" t="s">
        <v>71</v>
      </c>
      <c r="D47" s="47">
        <v>14.7</v>
      </c>
      <c r="E47" s="12">
        <v>12.5</v>
      </c>
      <c r="F47" s="12">
        <f>+E47</f>
        <v>12.5</v>
      </c>
      <c r="G47" s="12">
        <f aca="true" t="shared" si="16" ref="G47:P47">+F47</f>
        <v>12.5</v>
      </c>
      <c r="H47" s="12">
        <f t="shared" si="16"/>
        <v>12.5</v>
      </c>
      <c r="I47" s="12">
        <f t="shared" si="16"/>
        <v>12.5</v>
      </c>
      <c r="J47" s="12">
        <f t="shared" si="16"/>
        <v>12.5</v>
      </c>
      <c r="K47" s="12">
        <f t="shared" si="16"/>
        <v>12.5</v>
      </c>
      <c r="L47" s="12">
        <f t="shared" si="16"/>
        <v>12.5</v>
      </c>
      <c r="M47" s="12">
        <f t="shared" si="16"/>
        <v>12.5</v>
      </c>
      <c r="N47" s="12">
        <f t="shared" si="16"/>
        <v>12.5</v>
      </c>
      <c r="O47" s="12">
        <f t="shared" si="16"/>
        <v>12.5</v>
      </c>
      <c r="P47" s="12">
        <f t="shared" si="16"/>
        <v>12.5</v>
      </c>
      <c r="Q47" s="12">
        <f>+P47*4</f>
        <v>50</v>
      </c>
      <c r="R47" s="12">
        <f>+Q47</f>
        <v>50</v>
      </c>
      <c r="S47" s="12">
        <f>+R47</f>
        <v>50</v>
      </c>
      <c r="T47" s="12">
        <f>+S47</f>
        <v>50</v>
      </c>
      <c r="U47" s="12">
        <f>+T47</f>
        <v>50</v>
      </c>
      <c r="V47" s="12">
        <f>+U47</f>
        <v>50</v>
      </c>
      <c r="X47" s="9"/>
      <c r="Y47" s="11"/>
    </row>
    <row r="48" spans="1:25" s="2" customFormat="1" ht="12.75">
      <c r="A48" s="31"/>
      <c r="D48" s="47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X48" s="9"/>
      <c r="Y48" s="11"/>
    </row>
    <row r="49" spans="1:25" s="2" customFormat="1" ht="12.75">
      <c r="A49" s="31"/>
      <c r="B49" s="2" t="s">
        <v>102</v>
      </c>
      <c r="D49" s="47">
        <v>2.9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X49" s="9"/>
      <c r="Y49" s="11"/>
    </row>
    <row r="50" spans="1:25" s="2" customFormat="1" ht="12.75">
      <c r="A50" s="31"/>
      <c r="B50" s="2" t="s">
        <v>103</v>
      </c>
      <c r="D50" s="47">
        <v>0.5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X50" s="9"/>
      <c r="Y50" s="11"/>
    </row>
    <row r="51" spans="1:25" s="2" customFormat="1" ht="12.75">
      <c r="A51" s="31"/>
      <c r="B51" s="25" t="s">
        <v>19</v>
      </c>
      <c r="C51" s="108" t="s">
        <v>107</v>
      </c>
      <c r="D51" s="47">
        <v>10</v>
      </c>
      <c r="E51" s="12">
        <v>0</v>
      </c>
      <c r="F51" s="12">
        <v>0</v>
      </c>
      <c r="G51" s="12">
        <f aca="true" t="shared" si="17" ref="G51:P51">+F51</f>
        <v>0</v>
      </c>
      <c r="H51" s="12">
        <f t="shared" si="17"/>
        <v>0</v>
      </c>
      <c r="I51" s="12">
        <f t="shared" si="17"/>
        <v>0</v>
      </c>
      <c r="J51" s="12">
        <f t="shared" si="17"/>
        <v>0</v>
      </c>
      <c r="K51" s="12">
        <f t="shared" si="17"/>
        <v>0</v>
      </c>
      <c r="L51" s="12">
        <f t="shared" si="17"/>
        <v>0</v>
      </c>
      <c r="M51" s="12">
        <f t="shared" si="17"/>
        <v>0</v>
      </c>
      <c r="N51" s="12">
        <f t="shared" si="17"/>
        <v>0</v>
      </c>
      <c r="O51" s="12">
        <f t="shared" si="17"/>
        <v>0</v>
      </c>
      <c r="P51" s="12">
        <f t="shared" si="17"/>
        <v>0</v>
      </c>
      <c r="Q51" s="12">
        <f>+P51*4</f>
        <v>0</v>
      </c>
      <c r="R51" s="12">
        <f>+Q51</f>
        <v>0</v>
      </c>
      <c r="S51" s="12">
        <f>+R51</f>
        <v>0</v>
      </c>
      <c r="T51" s="12">
        <f>+S51</f>
        <v>0</v>
      </c>
      <c r="U51" s="12">
        <f>+T51</f>
        <v>0</v>
      </c>
      <c r="V51" s="12">
        <f>+U51</f>
        <v>0</v>
      </c>
      <c r="X51" s="9"/>
      <c r="Y51" s="11"/>
    </row>
    <row r="52" spans="1:25" s="2" customFormat="1" ht="12.75">
      <c r="A52" s="31"/>
      <c r="C52" s="108"/>
      <c r="D52" s="48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X52" s="9"/>
      <c r="Y52" s="11"/>
    </row>
    <row r="53" spans="1:25" s="26" customFormat="1" ht="12.75">
      <c r="A53" s="32" t="s">
        <v>40</v>
      </c>
      <c r="B53" s="25" t="s">
        <v>21</v>
      </c>
      <c r="D53" s="46">
        <f>SUM(D28:D52)</f>
        <v>90.9595</v>
      </c>
      <c r="E53" s="27">
        <f>SUM(E28:E52)</f>
        <v>75.0335</v>
      </c>
      <c r="F53" s="27">
        <f aca="true" t="shared" si="18" ref="F53:R53">SUM(F28:F52)</f>
        <v>74.74600000000001</v>
      </c>
      <c r="G53" s="27">
        <f t="shared" si="18"/>
        <v>74.4585</v>
      </c>
      <c r="H53" s="27">
        <f t="shared" si="18"/>
        <v>74.17099999999999</v>
      </c>
      <c r="I53" s="27">
        <f t="shared" si="18"/>
        <v>75.069</v>
      </c>
      <c r="J53" s="27">
        <f t="shared" si="18"/>
        <v>72.8345</v>
      </c>
      <c r="K53" s="27">
        <f t="shared" si="18"/>
        <v>70.72200000000001</v>
      </c>
      <c r="L53" s="27">
        <f t="shared" si="18"/>
        <v>68.747</v>
      </c>
      <c r="M53" s="27">
        <f t="shared" si="18"/>
        <v>67.356375</v>
      </c>
      <c r="N53" s="27">
        <f t="shared" si="18"/>
        <v>63.71625</v>
      </c>
      <c r="O53" s="27">
        <f t="shared" si="18"/>
        <v>63.71625</v>
      </c>
      <c r="P53" s="27">
        <f t="shared" si="18"/>
        <v>63.71625</v>
      </c>
      <c r="Q53" s="27">
        <f t="shared" si="18"/>
        <v>239.691</v>
      </c>
      <c r="R53" s="27">
        <f t="shared" si="18"/>
        <v>224.191</v>
      </c>
      <c r="S53" s="27">
        <f>SUM(S28:S52)</f>
        <v>221.391</v>
      </c>
      <c r="T53" s="27">
        <f>SUM(T28:T52)</f>
        <v>221.391</v>
      </c>
      <c r="U53" s="27">
        <f>SUM(U28:U52)</f>
        <v>220.68315</v>
      </c>
      <c r="V53" s="27">
        <f>SUM(V28:V52)</f>
        <v>196.875</v>
      </c>
      <c r="X53" s="28"/>
      <c r="Y53" s="29"/>
    </row>
    <row r="54" spans="1:25" s="26" customFormat="1" ht="12.75">
      <c r="A54" s="32"/>
      <c r="B54" s="25"/>
      <c r="D54" s="4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X54" s="28"/>
      <c r="Y54" s="29"/>
    </row>
    <row r="55" spans="1:25" s="26" customFormat="1" ht="12.75">
      <c r="A55" s="32"/>
      <c r="B55" s="3" t="s">
        <v>35</v>
      </c>
      <c r="C55" s="3"/>
      <c r="D55" s="47">
        <v>52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X55" s="28"/>
      <c r="Y55" s="29"/>
    </row>
    <row r="56" spans="1:25" s="2" customFormat="1" ht="12.75">
      <c r="A56" s="31"/>
      <c r="B56" s="3" t="s">
        <v>54</v>
      </c>
      <c r="C56" s="3"/>
      <c r="D56" s="48">
        <v>72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X56" s="9"/>
      <c r="Y56" s="11"/>
    </row>
    <row r="57" spans="1:25" s="26" customFormat="1" ht="13.5" thickBot="1">
      <c r="A57" s="32" t="s">
        <v>41</v>
      </c>
      <c r="B57" s="25" t="s">
        <v>43</v>
      </c>
      <c r="C57" s="32" t="s">
        <v>44</v>
      </c>
      <c r="D57" s="49">
        <f>+D23-D53+D56+D55</f>
        <v>180.1759</v>
      </c>
      <c r="E57" s="33">
        <f aca="true" t="shared" si="19" ref="E57:R57">+E23-E53</f>
        <v>68.03094240000001</v>
      </c>
      <c r="F57" s="33">
        <f t="shared" si="19"/>
        <v>63.92249620800001</v>
      </c>
      <c r="G57" s="33">
        <f t="shared" si="19"/>
        <v>59.75720692578399</v>
      </c>
      <c r="H57" s="33">
        <f t="shared" si="19"/>
        <v>56.88143801942451</v>
      </c>
      <c r="I57" s="33">
        <f t="shared" si="19"/>
        <v>52.19119784361472</v>
      </c>
      <c r="J57" s="33">
        <f t="shared" si="19"/>
        <v>50.96849765883046</v>
      </c>
      <c r="K57" s="33">
        <f t="shared" si="19"/>
        <v>49.94817253974206</v>
      </c>
      <c r="L57" s="33">
        <f t="shared" si="19"/>
        <v>49.104863893786714</v>
      </c>
      <c r="M57" s="33">
        <f t="shared" si="19"/>
        <v>48.72731465510647</v>
      </c>
      <c r="N57" s="33">
        <f t="shared" si="19"/>
        <v>50.830843932697206</v>
      </c>
      <c r="O57" s="33">
        <f t="shared" si="19"/>
        <v>49.52255732008268</v>
      </c>
      <c r="P57" s="33">
        <f t="shared" si="19"/>
        <v>48.43976566684228</v>
      </c>
      <c r="Q57" s="142">
        <f t="shared" si="19"/>
        <v>208.93306266736911</v>
      </c>
      <c r="R57" s="142">
        <f t="shared" si="19"/>
        <v>212.0860116889426</v>
      </c>
      <c r="S57" s="142">
        <f>+S23-S53</f>
        <v>246.4802827814079</v>
      </c>
      <c r="T57" s="142">
        <f>+T23-T53</f>
        <v>282.813694537743</v>
      </c>
      <c r="U57" s="142">
        <f>+U23-U53</f>
        <v>325.30496805752836</v>
      </c>
      <c r="V57" s="142">
        <f>+V23-V53</f>
        <v>397.1640551052815</v>
      </c>
      <c r="X57" s="28"/>
      <c r="Y57" s="29"/>
    </row>
    <row r="58" spans="1:25" s="26" customFormat="1" ht="13.5" thickTop="1">
      <c r="A58" s="32"/>
      <c r="B58" s="25"/>
      <c r="C58" s="32"/>
      <c r="D58" s="46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X58" s="28"/>
      <c r="Y58" s="29"/>
    </row>
    <row r="59" spans="1:25" s="26" customFormat="1" ht="12.75">
      <c r="A59" s="32"/>
      <c r="B59" s="25"/>
      <c r="C59" s="32"/>
      <c r="D59" s="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X59" s="28"/>
      <c r="Y59" s="29"/>
    </row>
    <row r="60" spans="1:25" s="26" customFormat="1" ht="12.75">
      <c r="A60" s="32"/>
      <c r="B60" s="25"/>
      <c r="C60" s="32"/>
      <c r="D60" s="46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X60" s="28"/>
      <c r="Y60" s="29"/>
    </row>
    <row r="61" spans="1:25" s="26" customFormat="1" ht="12.75">
      <c r="A61" s="32"/>
      <c r="B61" s="25"/>
      <c r="C61" s="32"/>
      <c r="D61" s="46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X61" s="28"/>
      <c r="Y61" s="29"/>
    </row>
    <row r="62" spans="1:25" s="2" customFormat="1" ht="12.75">
      <c r="A62" s="31"/>
      <c r="B62" s="3"/>
      <c r="C62" s="3"/>
      <c r="D62" s="4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X62" s="39" t="s">
        <v>55</v>
      </c>
      <c r="Y62" s="40" t="s">
        <v>49</v>
      </c>
    </row>
    <row r="63" spans="2:25" ht="12.75">
      <c r="B63" s="54" t="s">
        <v>22</v>
      </c>
      <c r="D63" s="5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X63" s="41" t="s">
        <v>22</v>
      </c>
      <c r="Y63" s="42" t="s">
        <v>48</v>
      </c>
    </row>
    <row r="64" spans="1:25" ht="12.75">
      <c r="A64" s="17" t="s">
        <v>42</v>
      </c>
      <c r="B64" s="1" t="s">
        <v>87</v>
      </c>
      <c r="C64" s="1">
        <v>250</v>
      </c>
      <c r="D64" s="50">
        <v>45</v>
      </c>
      <c r="E64" s="14">
        <v>25</v>
      </c>
      <c r="F64" s="14">
        <v>25</v>
      </c>
      <c r="G64" s="14">
        <v>25</v>
      </c>
      <c r="H64" s="14">
        <v>25</v>
      </c>
      <c r="I64" s="14">
        <f>250-(+D64+E64+F64+G64+H64)</f>
        <v>105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X64" s="10">
        <f>+C64-D64-E64</f>
        <v>180</v>
      </c>
      <c r="Y64" s="5">
        <f>+X64*0.044</f>
        <v>7.92</v>
      </c>
    </row>
    <row r="65" spans="1:25" ht="12.75">
      <c r="A65" s="17" t="s">
        <v>42</v>
      </c>
      <c r="B65" s="1" t="s">
        <v>88</v>
      </c>
      <c r="C65" s="1">
        <v>16</v>
      </c>
      <c r="D65" s="50">
        <v>16</v>
      </c>
      <c r="E65" s="36">
        <v>-239</v>
      </c>
      <c r="F65" s="14"/>
      <c r="G65" s="14"/>
      <c r="H65" s="14"/>
      <c r="I65" s="36">
        <v>239</v>
      </c>
      <c r="J65" s="14"/>
      <c r="K65" s="14"/>
      <c r="L65" s="14"/>
      <c r="M65" s="143">
        <v>-150</v>
      </c>
      <c r="N65" s="14"/>
      <c r="O65" s="14"/>
      <c r="P65" s="143">
        <v>150</v>
      </c>
      <c r="Q65" s="14"/>
      <c r="R65" s="14"/>
      <c r="S65" s="14"/>
      <c r="T65" s="14"/>
      <c r="U65" s="14"/>
      <c r="V65" s="14"/>
      <c r="X65" s="10">
        <v>239</v>
      </c>
      <c r="Y65" s="5">
        <f>+X65*0.044</f>
        <v>10.516</v>
      </c>
    </row>
    <row r="66" spans="1:24" ht="12.75">
      <c r="A66" s="17" t="s">
        <v>42</v>
      </c>
      <c r="B66" s="1" t="s">
        <v>25</v>
      </c>
      <c r="C66" s="1">
        <v>35</v>
      </c>
      <c r="D66" s="50">
        <v>35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X66" s="10">
        <f>+C66-D66</f>
        <v>0</v>
      </c>
    </row>
    <row r="67" spans="1:25" ht="12.75">
      <c r="A67" s="17" t="s">
        <v>42</v>
      </c>
      <c r="B67" s="102" t="s">
        <v>34</v>
      </c>
      <c r="C67" s="8">
        <f>+X67</f>
        <v>184</v>
      </c>
      <c r="D67" s="5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>
        <v>184</v>
      </c>
      <c r="T67" s="14"/>
      <c r="U67" s="14"/>
      <c r="V67" s="14"/>
      <c r="X67" s="10">
        <f aca="true" t="shared" si="20" ref="X67:X76">SUM(D67:W67)</f>
        <v>184</v>
      </c>
      <c r="Y67" s="5">
        <f>+X67*0.0625</f>
        <v>11.5</v>
      </c>
    </row>
    <row r="68" spans="1:22" ht="12.75">
      <c r="A68" s="17" t="s">
        <v>42</v>
      </c>
      <c r="B68" s="19" t="s">
        <v>14</v>
      </c>
      <c r="C68" s="1"/>
      <c r="D68" s="5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5" ht="12.75">
      <c r="A69" s="17" t="s">
        <v>42</v>
      </c>
      <c r="B69" s="7" t="s">
        <v>27</v>
      </c>
      <c r="C69" s="8">
        <v>130</v>
      </c>
      <c r="D69" s="50"/>
      <c r="E69" s="14"/>
      <c r="F69" s="14"/>
      <c r="G69" s="14"/>
      <c r="H69" s="14"/>
      <c r="I69" s="14"/>
      <c r="J69" s="14"/>
      <c r="K69" s="14">
        <v>130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X69" s="10">
        <f t="shared" si="20"/>
        <v>130</v>
      </c>
      <c r="Y69" s="5">
        <f>+X69*0.065</f>
        <v>8.450000000000001</v>
      </c>
    </row>
    <row r="70" spans="1:25" ht="12.75">
      <c r="A70" s="17" t="s">
        <v>42</v>
      </c>
      <c r="B70" s="1" t="s">
        <v>26</v>
      </c>
      <c r="C70" s="8">
        <v>125</v>
      </c>
      <c r="D70" s="50"/>
      <c r="E70" s="14"/>
      <c r="F70" s="14"/>
      <c r="G70" s="14"/>
      <c r="H70" s="14"/>
      <c r="I70" s="14"/>
      <c r="J70" s="14"/>
      <c r="K70" s="14"/>
      <c r="L70" s="14">
        <v>125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X70" s="10">
        <f t="shared" si="20"/>
        <v>125</v>
      </c>
      <c r="Y70" s="5">
        <f>+X70*0.0685</f>
        <v>8.5625</v>
      </c>
    </row>
    <row r="71" spans="1:25" ht="12.75">
      <c r="A71" s="17" t="s">
        <v>42</v>
      </c>
      <c r="B71" s="1" t="s">
        <v>28</v>
      </c>
      <c r="C71" s="8">
        <v>255</v>
      </c>
      <c r="D71" s="50"/>
      <c r="E71" s="14"/>
      <c r="F71" s="14"/>
      <c r="G71" s="14"/>
      <c r="H71" s="14"/>
      <c r="I71" s="14"/>
      <c r="J71" s="14"/>
      <c r="K71" s="14"/>
      <c r="L71" s="14"/>
      <c r="M71" s="14"/>
      <c r="N71" s="14">
        <v>255</v>
      </c>
      <c r="O71" s="14"/>
      <c r="P71" s="14"/>
      <c r="Q71" s="14"/>
      <c r="R71" s="14"/>
      <c r="S71" s="14"/>
      <c r="T71" s="14"/>
      <c r="U71" s="14"/>
      <c r="V71" s="14"/>
      <c r="X71" s="10">
        <f t="shared" si="20"/>
        <v>255</v>
      </c>
      <c r="Y71" s="5">
        <f>+X71*0.0571</f>
        <v>14.5605</v>
      </c>
    </row>
    <row r="72" spans="1:25" ht="12.75">
      <c r="A72" s="17" t="s">
        <v>42</v>
      </c>
      <c r="B72" s="1" t="s">
        <v>29</v>
      </c>
      <c r="C72" s="8">
        <v>138</v>
      </c>
      <c r="D72" s="50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>
        <v>138</v>
      </c>
      <c r="R72" s="14"/>
      <c r="S72" s="14"/>
      <c r="T72" s="14"/>
      <c r="U72" s="14"/>
      <c r="V72" s="14"/>
      <c r="X72" s="10">
        <f t="shared" si="20"/>
        <v>138</v>
      </c>
      <c r="Y72" s="5">
        <f>+X72*0.073</f>
        <v>10.074</v>
      </c>
    </row>
    <row r="73" spans="1:25" ht="12.75">
      <c r="A73" s="17" t="s">
        <v>42</v>
      </c>
      <c r="B73" s="1" t="s">
        <v>30</v>
      </c>
      <c r="C73" s="8">
        <v>320</v>
      </c>
      <c r="D73" s="50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>
        <v>320</v>
      </c>
      <c r="S73" s="14"/>
      <c r="T73" s="14"/>
      <c r="U73" s="14"/>
      <c r="V73" s="14"/>
      <c r="X73" s="10">
        <f t="shared" si="20"/>
        <v>320</v>
      </c>
      <c r="Y73" s="5">
        <f>+X73*0.0525</f>
        <v>16.8</v>
      </c>
    </row>
    <row r="74" spans="1:25" ht="12.75">
      <c r="A74" s="17" t="s">
        <v>42</v>
      </c>
      <c r="B74" s="1" t="s">
        <v>31</v>
      </c>
      <c r="C74" s="8">
        <v>121</v>
      </c>
      <c r="D74" s="50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>
        <v>121</v>
      </c>
      <c r="V74" s="14"/>
      <c r="X74" s="10">
        <f t="shared" si="20"/>
        <v>121</v>
      </c>
      <c r="Y74" s="5">
        <f>+X74*0.0585</f>
        <v>7.0785</v>
      </c>
    </row>
    <row r="75" spans="1:25" ht="12.75">
      <c r="A75" s="17" t="s">
        <v>42</v>
      </c>
      <c r="B75" s="1" t="s">
        <v>32</v>
      </c>
      <c r="C75" s="8">
        <v>300</v>
      </c>
      <c r="D75" s="50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>
        <v>300</v>
      </c>
      <c r="X75" s="10">
        <f t="shared" si="20"/>
        <v>300</v>
      </c>
      <c r="Y75" s="5">
        <f>+X75*0.0775</f>
        <v>23.25</v>
      </c>
    </row>
    <row r="76" spans="1:25" ht="12.75">
      <c r="A76" s="17" t="s">
        <v>42</v>
      </c>
      <c r="B76" s="1" t="s">
        <v>33</v>
      </c>
      <c r="C76" s="8">
        <v>17</v>
      </c>
      <c r="D76" s="50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>
        <v>17</v>
      </c>
      <c r="X76" s="10">
        <f t="shared" si="20"/>
        <v>17</v>
      </c>
      <c r="Y76" s="5">
        <f>+X76*0.0625</f>
        <v>1.0625</v>
      </c>
    </row>
    <row r="77" spans="2:22" ht="13.5" thickBot="1">
      <c r="B77" s="19" t="s">
        <v>69</v>
      </c>
      <c r="C77" s="70">
        <f>SUM(C64:C76)</f>
        <v>1891</v>
      </c>
      <c r="D77" s="50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5" s="16" customFormat="1" ht="14.25" thickBot="1" thickTop="1">
      <c r="A78" s="17" t="s">
        <v>45</v>
      </c>
      <c r="B78" s="16" t="s">
        <v>53</v>
      </c>
      <c r="C78" s="17" t="s">
        <v>51</v>
      </c>
      <c r="D78" s="117">
        <f aca="true" t="shared" si="21" ref="D78:R78">-SUM(D62:D77)+D57</f>
        <v>84.17590000000001</v>
      </c>
      <c r="E78" s="118">
        <f t="shared" si="21"/>
        <v>282.0309424</v>
      </c>
      <c r="F78" s="118">
        <f t="shared" si="21"/>
        <v>38.92249620800001</v>
      </c>
      <c r="G78" s="118">
        <f t="shared" si="21"/>
        <v>34.75720692578399</v>
      </c>
      <c r="H78" s="118">
        <f t="shared" si="21"/>
        <v>31.881438019424508</v>
      </c>
      <c r="I78" s="118">
        <f t="shared" si="21"/>
        <v>-291.8088021563853</v>
      </c>
      <c r="J78" s="118">
        <f t="shared" si="21"/>
        <v>50.96849765883046</v>
      </c>
      <c r="K78" s="118">
        <f t="shared" si="21"/>
        <v>-80.05182746025794</v>
      </c>
      <c r="L78" s="118">
        <f t="shared" si="21"/>
        <v>-75.89513610621329</v>
      </c>
      <c r="M78" s="118">
        <f t="shared" si="21"/>
        <v>198.72731465510645</v>
      </c>
      <c r="N78" s="118">
        <f t="shared" si="21"/>
        <v>-204.1691560673028</v>
      </c>
      <c r="O78" s="118">
        <f t="shared" si="21"/>
        <v>49.52255732008268</v>
      </c>
      <c r="P78" s="118">
        <f t="shared" si="21"/>
        <v>-101.56023433315772</v>
      </c>
      <c r="Q78" s="118">
        <f t="shared" si="21"/>
        <v>70.93306266736911</v>
      </c>
      <c r="R78" s="118">
        <f t="shared" si="21"/>
        <v>-107.91398831105741</v>
      </c>
      <c r="S78" s="118">
        <f>-SUM(S62:S77)+S57</f>
        <v>62.48028278140791</v>
      </c>
      <c r="T78" s="118">
        <f>-SUM(T62:T77)+T57</f>
        <v>282.813694537743</v>
      </c>
      <c r="U78" s="118">
        <f>-SUM(U62:U77)+U57</f>
        <v>204.30496805752836</v>
      </c>
      <c r="V78" s="118">
        <f>-SUM(V62:V77)+V57</f>
        <v>80.16405510528148</v>
      </c>
      <c r="W78" s="35"/>
      <c r="X78" s="57">
        <f>SUM(X62:X77)</f>
        <v>2009</v>
      </c>
      <c r="Y78" s="57">
        <f>SUM(Y62:Y77)</f>
        <v>119.774</v>
      </c>
    </row>
    <row r="79" spans="4:23" ht="14.25" thickBot="1" thickTop="1">
      <c r="D79" s="50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4"/>
    </row>
    <row r="80" spans="1:25" s="16" customFormat="1" ht="13.5" thickBot="1">
      <c r="A80" s="115" t="s">
        <v>52</v>
      </c>
      <c r="B80" s="116" t="s">
        <v>23</v>
      </c>
      <c r="C80" s="116"/>
      <c r="D80" s="119">
        <f>+D78</f>
        <v>84.17590000000001</v>
      </c>
      <c r="E80" s="120">
        <f>+D80+E78</f>
        <v>366.2068424</v>
      </c>
      <c r="F80" s="120">
        <f aca="true" t="shared" si="22" ref="F80:R80">+E80+F78</f>
        <v>405.129338608</v>
      </c>
      <c r="G80" s="120">
        <f t="shared" si="22"/>
        <v>439.886545533784</v>
      </c>
      <c r="H80" s="120">
        <f t="shared" si="22"/>
        <v>471.7679835532085</v>
      </c>
      <c r="I80" s="120">
        <f t="shared" si="22"/>
        <v>179.95918139682323</v>
      </c>
      <c r="J80" s="120">
        <f t="shared" si="22"/>
        <v>230.9276790556537</v>
      </c>
      <c r="K80" s="120">
        <f t="shared" si="22"/>
        <v>150.87585159539577</v>
      </c>
      <c r="L80" s="121">
        <f t="shared" si="22"/>
        <v>74.98071548918249</v>
      </c>
      <c r="M80" s="120">
        <f t="shared" si="22"/>
        <v>273.70803014428895</v>
      </c>
      <c r="N80" s="121">
        <f t="shared" si="22"/>
        <v>69.53887407698616</v>
      </c>
      <c r="O80" s="120">
        <f t="shared" si="22"/>
        <v>119.06143139706884</v>
      </c>
      <c r="P80" s="120">
        <f t="shared" si="22"/>
        <v>17.50119706391112</v>
      </c>
      <c r="Q80" s="120">
        <f t="shared" si="22"/>
        <v>88.43425973128024</v>
      </c>
      <c r="R80" s="121">
        <f t="shared" si="22"/>
        <v>-19.479728579777174</v>
      </c>
      <c r="S80" s="140">
        <f>+R80+S78</f>
        <v>43.000554201630734</v>
      </c>
      <c r="T80" s="140">
        <f>+S80+T78</f>
        <v>325.81424873937374</v>
      </c>
      <c r="U80" s="140">
        <f>+T80+U78</f>
        <v>530.119216796902</v>
      </c>
      <c r="V80" s="140">
        <f>+U80+V78</f>
        <v>610.2832719021835</v>
      </c>
      <c r="W80" s="35"/>
      <c r="X80" s="37"/>
      <c r="Y80" s="18"/>
    </row>
    <row r="81" spans="1:25" s="16" customFormat="1" ht="12.75">
      <c r="A81" s="17"/>
      <c r="D81" s="105"/>
      <c r="E81" s="36"/>
      <c r="F81" s="36"/>
      <c r="G81" s="36"/>
      <c r="H81" s="36"/>
      <c r="I81" s="36"/>
      <c r="J81" s="36"/>
      <c r="K81" s="36"/>
      <c r="L81" s="105"/>
      <c r="M81" s="36"/>
      <c r="N81" s="105"/>
      <c r="O81" s="36"/>
      <c r="P81" s="36"/>
      <c r="Q81" s="36"/>
      <c r="R81" s="36"/>
      <c r="S81" s="36"/>
      <c r="T81" s="36"/>
      <c r="U81" s="36"/>
      <c r="V81" s="36"/>
      <c r="W81" s="35"/>
      <c r="X81" s="37"/>
      <c r="Y81" s="18"/>
    </row>
    <row r="82" spans="1:25" s="16" customFormat="1" ht="12.75">
      <c r="A82" s="17"/>
      <c r="B82" s="123" t="s">
        <v>104</v>
      </c>
      <c r="C82" s="124"/>
      <c r="D82" s="125"/>
      <c r="E82" s="125">
        <f>+((+G91+G92)/4)</f>
        <v>5.547375000000001</v>
      </c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6"/>
      <c r="S82" s="141"/>
      <c r="T82" s="141"/>
      <c r="U82" s="141"/>
      <c r="V82" s="141"/>
      <c r="W82" s="35"/>
      <c r="X82" s="37"/>
      <c r="Y82" s="18"/>
    </row>
    <row r="83" spans="1:25" s="16" customFormat="1" ht="12.75">
      <c r="A83" s="17"/>
      <c r="D83" s="105"/>
      <c r="E83" s="36"/>
      <c r="F83" s="36"/>
      <c r="G83" s="36"/>
      <c r="H83" s="36"/>
      <c r="I83" s="36"/>
      <c r="J83" s="36"/>
      <c r="K83" s="36"/>
      <c r="L83" s="105"/>
      <c r="M83" s="36"/>
      <c r="N83" s="105"/>
      <c r="O83" s="36"/>
      <c r="P83" s="36"/>
      <c r="Q83" s="36"/>
      <c r="R83" s="36"/>
      <c r="S83" s="36"/>
      <c r="T83" s="36"/>
      <c r="U83" s="36"/>
      <c r="V83" s="36"/>
      <c r="W83" s="35"/>
      <c r="X83" s="37"/>
      <c r="Y83" s="18"/>
    </row>
    <row r="84" ht="12.75">
      <c r="B84" s="55" t="s">
        <v>50</v>
      </c>
    </row>
    <row r="85" spans="2:21" ht="12.75">
      <c r="B85" s="55"/>
      <c r="U85" t="s">
        <v>95</v>
      </c>
    </row>
    <row r="86" spans="2:24" ht="12.75">
      <c r="B86" s="55"/>
      <c r="U86" t="s">
        <v>96</v>
      </c>
      <c r="W86" t="s">
        <v>97</v>
      </c>
      <c r="X86" s="10">
        <v>-84</v>
      </c>
    </row>
    <row r="87" spans="2:24" ht="12.75">
      <c r="B87" s="55"/>
      <c r="D87" s="89"/>
      <c r="E87" s="90" t="s">
        <v>66</v>
      </c>
      <c r="F87" s="91"/>
      <c r="G87" s="92"/>
      <c r="W87" t="s">
        <v>98</v>
      </c>
      <c r="X87" s="10">
        <v>-239</v>
      </c>
    </row>
    <row r="88" spans="2:24" ht="12.75">
      <c r="B88" s="55"/>
      <c r="D88" s="62" t="s">
        <v>24</v>
      </c>
      <c r="E88" s="88" t="s">
        <v>94</v>
      </c>
      <c r="F88" s="63" t="s">
        <v>93</v>
      </c>
      <c r="G88" s="63" t="s">
        <v>19</v>
      </c>
      <c r="U88" t="s">
        <v>100</v>
      </c>
      <c r="X88" s="10">
        <v>-184</v>
      </c>
    </row>
    <row r="89" spans="2:24" ht="13.5" thickBot="1">
      <c r="B89" s="55"/>
      <c r="C89" s="6" t="s">
        <v>15</v>
      </c>
      <c r="D89" s="6">
        <v>1</v>
      </c>
      <c r="E89" s="14">
        <v>251.1</v>
      </c>
      <c r="F89" s="5">
        <v>10.045872</v>
      </c>
      <c r="G89" s="5">
        <f>10*25*0.0425</f>
        <v>10.625</v>
      </c>
      <c r="U89" t="s">
        <v>99</v>
      </c>
      <c r="X89" s="93">
        <f>SUM(X78:X88)</f>
        <v>1502</v>
      </c>
    </row>
    <row r="90" spans="2:7" ht="13.5" thickTop="1">
      <c r="B90" s="55"/>
      <c r="C90" s="6" t="s">
        <v>40</v>
      </c>
      <c r="D90" s="6">
        <v>2</v>
      </c>
      <c r="E90" s="14">
        <v>151.6</v>
      </c>
      <c r="F90" s="5">
        <v>6.062128</v>
      </c>
      <c r="G90" s="5">
        <f>6*1.25</f>
        <v>7.5</v>
      </c>
    </row>
    <row r="91" spans="2:7" ht="13.5" thickBot="1">
      <c r="B91" s="55"/>
      <c r="C91" s="6" t="s">
        <v>41</v>
      </c>
      <c r="D91" s="6">
        <v>3</v>
      </c>
      <c r="E91" s="14">
        <f>203</f>
        <v>203</v>
      </c>
      <c r="F91" s="5">
        <v>8.1209</v>
      </c>
      <c r="G91" s="5">
        <f>203*0.0675</f>
        <v>13.7025</v>
      </c>
    </row>
    <row r="92" spans="3:24" ht="18.75" thickBot="1">
      <c r="C92" s="6" t="s">
        <v>42</v>
      </c>
      <c r="D92" s="6">
        <v>5</v>
      </c>
      <c r="E92" s="14">
        <f>123</f>
        <v>123</v>
      </c>
      <c r="F92" s="5">
        <v>4.91992</v>
      </c>
      <c r="G92" s="5">
        <f>123*0.069</f>
        <v>8.487</v>
      </c>
      <c r="S92" s="19" t="s">
        <v>68</v>
      </c>
      <c r="T92" s="102" t="s">
        <v>58</v>
      </c>
      <c r="U92" t="s">
        <v>57</v>
      </c>
      <c r="V92" s="14">
        <f>(+$E$23+$F$23)*2*0+147.2*4</f>
        <v>588.8</v>
      </c>
      <c r="W92" s="17" t="s">
        <v>67</v>
      </c>
      <c r="X92" s="71">
        <f>+X89/+(V92)</f>
        <v>2.550951086956522</v>
      </c>
    </row>
    <row r="93" spans="4:24" ht="12.75">
      <c r="D93" s="6">
        <v>7</v>
      </c>
      <c r="E93" s="14">
        <v>2.9</v>
      </c>
      <c r="F93" s="5">
        <v>0.383333</v>
      </c>
      <c r="G93" s="5">
        <f>3*0.05</f>
        <v>0.15000000000000002</v>
      </c>
      <c r="S93" s="1"/>
      <c r="T93" s="1"/>
      <c r="X93" s="56"/>
    </row>
    <row r="94" spans="5:25" ht="13.5" thickBot="1">
      <c r="E94" s="14"/>
      <c r="X94" s="1" t="s">
        <v>62</v>
      </c>
      <c r="Y94" s="58">
        <f>+Y78*0.5</f>
        <v>59.887</v>
      </c>
    </row>
    <row r="95" spans="4:25" ht="18.75" thickBot="1">
      <c r="D95" s="16" t="s">
        <v>37</v>
      </c>
      <c r="E95" s="34">
        <f>SUM(E89:E94)</f>
        <v>731.6</v>
      </c>
      <c r="F95" s="59">
        <f>SUM(F89:F94)</f>
        <v>29.532153000000005</v>
      </c>
      <c r="G95" s="59">
        <f>SUM(G89:G94)</f>
        <v>40.4645</v>
      </c>
      <c r="S95" s="19" t="s">
        <v>59</v>
      </c>
      <c r="T95" s="102" t="s">
        <v>58</v>
      </c>
      <c r="U95" t="s">
        <v>57</v>
      </c>
      <c r="V95" s="14">
        <f>(+$E$23+$F$23)</f>
        <v>281.73293860800004</v>
      </c>
      <c r="X95" s="24" t="s">
        <v>60</v>
      </c>
      <c r="Y95" s="69">
        <f>+V95/Y94</f>
        <v>4.704408946983486</v>
      </c>
    </row>
    <row r="96" ht="13.5" thickTop="1"/>
    <row r="97" ht="12.75">
      <c r="B97" s="86"/>
    </row>
    <row r="102" ht="12.75">
      <c r="L102" s="85"/>
    </row>
  </sheetData>
  <sheetProtection/>
  <printOptions horizontalCentered="1" verticalCentered="1"/>
  <pageMargins left="0.1968503937007874" right="0.1968503937007874" top="0.3937007874015748" bottom="0.3937007874015748" header="0.1968503937007874" footer="0.1968503937007874"/>
  <pageSetup fitToHeight="2" fitToWidth="1" orientation="landscape" paperSize="9" scale="66" r:id="rId3"/>
  <ignoredErrors>
    <ignoredError sqref="X69:X76" formulaRange="1"/>
    <ignoredError sqref="Q50:Q51 Q32 Q44:Q47 Q12 Q1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="150" zoomScaleNormal="150" zoomScalePageLayoutView="0" workbookViewId="0" topLeftCell="A1">
      <selection activeCell="D12" sqref="D12"/>
    </sheetView>
  </sheetViews>
  <sheetFormatPr defaultColWidth="9.140625" defaultRowHeight="12.75"/>
  <cols>
    <col min="2" max="2" width="9.28125" style="0" bestFit="1" customWidth="1"/>
    <col min="4" max="4" width="95.421875" style="0" customWidth="1"/>
  </cols>
  <sheetData>
    <row r="1" ht="25.5">
      <c r="C1" s="87" t="s">
        <v>82</v>
      </c>
    </row>
    <row r="3" ht="12.75">
      <c r="A3" t="s">
        <v>113</v>
      </c>
    </row>
    <row r="4" spans="1:4" ht="12.75">
      <c r="A4" t="s">
        <v>114</v>
      </c>
      <c r="D4" s="84"/>
    </row>
    <row r="6" spans="1:4" ht="12.75">
      <c r="A6" t="s">
        <v>116</v>
      </c>
      <c r="B6" t="s">
        <v>117</v>
      </c>
      <c r="D6" s="84" t="s">
        <v>115</v>
      </c>
    </row>
    <row r="8" spans="1:4" ht="12.75">
      <c r="A8" t="s">
        <v>118</v>
      </c>
      <c r="B8" t="s">
        <v>117</v>
      </c>
      <c r="D8" s="84" t="s">
        <v>119</v>
      </c>
    </row>
    <row r="11" spans="1:4" ht="12.75">
      <c r="A11" t="s">
        <v>126</v>
      </c>
      <c r="D11" s="84" t="s">
        <v>127</v>
      </c>
    </row>
    <row r="18" spans="1:4" ht="12.75">
      <c r="A18" t="s">
        <v>85</v>
      </c>
      <c r="D18" s="84" t="s">
        <v>84</v>
      </c>
    </row>
    <row r="19" ht="12.75">
      <c r="D19" s="84"/>
    </row>
    <row r="20" spans="1:4" ht="12.75">
      <c r="A20" t="s">
        <v>91</v>
      </c>
      <c r="D20" s="84" t="s">
        <v>92</v>
      </c>
    </row>
    <row r="21" ht="12.75">
      <c r="D21" s="84"/>
    </row>
    <row r="22" ht="12.75">
      <c r="D22" s="84"/>
    </row>
    <row r="23" ht="12.75">
      <c r="D23" s="84"/>
    </row>
    <row r="24" ht="12.75">
      <c r="D24" s="84"/>
    </row>
    <row r="26" spans="1:4" ht="12.75">
      <c r="A26" t="s">
        <v>83</v>
      </c>
      <c r="D26" s="84" t="s">
        <v>86</v>
      </c>
    </row>
  </sheetData>
  <sheetProtection/>
  <hyperlinks>
    <hyperlink ref="D18" r:id="rId1" display="http://www.ypg.com/images/ckeditor/files/2011_Q4_SuppDisc.pdf"/>
    <hyperlink ref="D26" r:id="rId2" display="http://www.ypg.com/images/ckeditor/files/2011_Q3_SuppDisc.pdf"/>
    <hyperlink ref="D6" r:id="rId3" display="http://www.docs.scotiaitrade.com/pdf/YPGBD_final.pdf"/>
    <hyperlink ref="D8" r:id="rId4" display="http://www.sedar.com/GetFile.do?lang=EN&amp;docClass=9&amp;issuerNo=00020539&amp;fileName=/csfsprod/data102/filings/01512586/00000001/x%3A\ASedar\2009\YPG\Prelim2\ProEng.pdf"/>
    <hyperlink ref="D11" r:id="rId5" display="http://www.theglobeandmail.com/globe-investor/updates-from-yellow-medias-call/article2425917/"/>
  </hyperlinks>
  <printOptions/>
  <pageMargins left="0.75" right="0.75" top="1" bottom="1" header="0.5" footer="0.5"/>
  <pageSetup orientation="portrait" paperSize="9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10.00390625" style="0" customWidth="1"/>
    <col min="5" max="16" width="10.8515625" style="0" customWidth="1"/>
    <col min="19" max="19" width="8.28125" style="0" customWidth="1"/>
    <col min="20" max="20" width="8.00390625" style="10" customWidth="1"/>
    <col min="21" max="21" width="9.140625" style="5" customWidth="1"/>
  </cols>
  <sheetData>
    <row r="1" spans="2:9" ht="30">
      <c r="B1" t="s">
        <v>72</v>
      </c>
      <c r="G1" s="64"/>
      <c r="H1" s="65" t="s">
        <v>38</v>
      </c>
      <c r="I1" s="64"/>
    </row>
    <row r="2" ht="12.75"/>
    <row r="3" spans="1:21" s="16" customFormat="1" ht="12.75">
      <c r="A3" s="17"/>
      <c r="D3" s="17" t="s">
        <v>56</v>
      </c>
      <c r="E3" s="67" t="s">
        <v>63</v>
      </c>
      <c r="F3" s="66" t="s">
        <v>64</v>
      </c>
      <c r="T3" s="24"/>
      <c r="U3" s="23"/>
    </row>
    <row r="4" spans="1:21" s="19" customFormat="1" ht="12.75">
      <c r="A4" s="17"/>
      <c r="C4" s="19" t="s">
        <v>36</v>
      </c>
      <c r="D4" s="43" t="s">
        <v>20</v>
      </c>
      <c r="E4" s="20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19">
        <v>2015</v>
      </c>
      <c r="R4" s="19">
        <v>2016</v>
      </c>
      <c r="S4" s="17" t="s">
        <v>46</v>
      </c>
      <c r="T4" s="24"/>
      <c r="U4" s="23"/>
    </row>
    <row r="5" spans="1:21" s="2" customFormat="1" ht="12.75">
      <c r="A5" s="31"/>
      <c r="B5" s="53" t="s">
        <v>57</v>
      </c>
      <c r="C5" s="3"/>
      <c r="D5" s="44"/>
      <c r="T5" s="9"/>
      <c r="U5" s="11"/>
    </row>
    <row r="6" spans="1:21" s="26" customFormat="1" ht="13.5" thickBot="1">
      <c r="A6" s="32" t="s">
        <v>15</v>
      </c>
      <c r="B6" s="25" t="s">
        <v>16</v>
      </c>
      <c r="C6" s="25"/>
      <c r="D6" s="45">
        <v>155</v>
      </c>
      <c r="E6" s="30">
        <v>150</v>
      </c>
      <c r="F6" s="30">
        <f>+E6</f>
        <v>150</v>
      </c>
      <c r="G6" s="30">
        <f aca="true" t="shared" si="0" ref="G6:P6">+F6</f>
        <v>150</v>
      </c>
      <c r="H6" s="30">
        <f t="shared" si="0"/>
        <v>150</v>
      </c>
      <c r="I6" s="30">
        <f t="shared" si="0"/>
        <v>150</v>
      </c>
      <c r="J6" s="30">
        <f t="shared" si="0"/>
        <v>150</v>
      </c>
      <c r="K6" s="30">
        <f t="shared" si="0"/>
        <v>150</v>
      </c>
      <c r="L6" s="30">
        <f t="shared" si="0"/>
        <v>150</v>
      </c>
      <c r="M6" s="30">
        <f t="shared" si="0"/>
        <v>150</v>
      </c>
      <c r="N6" s="30">
        <f t="shared" si="0"/>
        <v>150</v>
      </c>
      <c r="O6" s="30">
        <f t="shared" si="0"/>
        <v>150</v>
      </c>
      <c r="P6" s="30">
        <f t="shared" si="0"/>
        <v>150</v>
      </c>
      <c r="Q6" s="30">
        <f>+P6*4</f>
        <v>600</v>
      </c>
      <c r="R6" s="30">
        <f>+Q6</f>
        <v>600</v>
      </c>
      <c r="T6" s="28"/>
      <c r="U6" s="29"/>
    </row>
    <row r="7" spans="1:21" s="26" customFormat="1" ht="13.5" thickTop="1">
      <c r="A7" s="32"/>
      <c r="B7" s="25"/>
      <c r="C7" s="25"/>
      <c r="D7" s="46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T7" s="28"/>
      <c r="U7" s="29"/>
    </row>
    <row r="8" spans="1:21" s="2" customFormat="1" ht="12.75">
      <c r="A8" s="31"/>
      <c r="B8" s="53" t="s">
        <v>47</v>
      </c>
      <c r="D8" s="4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T8" s="9"/>
      <c r="U8" s="11"/>
    </row>
    <row r="9" spans="1:21" s="2" customFormat="1" ht="12.75">
      <c r="A9" s="31"/>
      <c r="B9" s="25" t="s">
        <v>17</v>
      </c>
      <c r="D9" s="47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T9" s="9"/>
      <c r="U9" s="11"/>
    </row>
    <row r="10" spans="1:21" s="2" customFormat="1" ht="12.75">
      <c r="A10" s="31"/>
      <c r="B10" s="1" t="s">
        <v>0</v>
      </c>
      <c r="D10" s="47">
        <f>266*0.05/4</f>
        <v>3.325</v>
      </c>
      <c r="E10" s="12">
        <v>2.07</v>
      </c>
      <c r="F10" s="12">
        <v>1.7825</v>
      </c>
      <c r="G10" s="12">
        <v>1.495</v>
      </c>
      <c r="H10" s="12">
        <v>1.2075</v>
      </c>
      <c r="I10" s="12">
        <v>0.92</v>
      </c>
      <c r="J10" s="12"/>
      <c r="K10" s="12"/>
      <c r="L10" s="12"/>
      <c r="M10" s="12"/>
      <c r="N10" s="12"/>
      <c r="O10" s="12"/>
      <c r="P10" s="12"/>
      <c r="Q10" s="12"/>
      <c r="R10" s="12"/>
      <c r="T10" s="9"/>
      <c r="U10" s="11"/>
    </row>
    <row r="11" spans="1:21" s="2" customFormat="1" ht="12.75">
      <c r="A11" s="31"/>
      <c r="B11" s="1" t="s">
        <v>25</v>
      </c>
      <c r="C11" s="68" t="s">
        <v>65</v>
      </c>
      <c r="D11" s="47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T11" s="9"/>
      <c r="U11" s="11"/>
    </row>
    <row r="12" spans="1:21" s="2" customFormat="1" ht="12.75">
      <c r="A12" s="31"/>
      <c r="B12" s="1" t="s">
        <v>34</v>
      </c>
      <c r="D12" s="47">
        <f aca="true" t="shared" si="1" ref="D12:P12">+$U39/4</f>
        <v>2.875</v>
      </c>
      <c r="E12" s="12">
        <f t="shared" si="1"/>
        <v>2.875</v>
      </c>
      <c r="F12" s="12">
        <f t="shared" si="1"/>
        <v>2.875</v>
      </c>
      <c r="G12" s="12">
        <f t="shared" si="1"/>
        <v>2.875</v>
      </c>
      <c r="H12" s="12">
        <f t="shared" si="1"/>
        <v>2.875</v>
      </c>
      <c r="I12" s="12">
        <f t="shared" si="1"/>
        <v>2.875</v>
      </c>
      <c r="J12" s="12">
        <f t="shared" si="1"/>
        <v>2.875</v>
      </c>
      <c r="K12" s="12">
        <f t="shared" si="1"/>
        <v>2.875</v>
      </c>
      <c r="L12" s="12">
        <f t="shared" si="1"/>
        <v>2.875</v>
      </c>
      <c r="M12" s="12">
        <f t="shared" si="1"/>
        <v>2.875</v>
      </c>
      <c r="N12" s="12">
        <f t="shared" si="1"/>
        <v>2.875</v>
      </c>
      <c r="O12" s="12">
        <f t="shared" si="1"/>
        <v>2.875</v>
      </c>
      <c r="P12" s="12">
        <f t="shared" si="1"/>
        <v>2.875</v>
      </c>
      <c r="Q12" s="12">
        <f>+P12*4</f>
        <v>11.5</v>
      </c>
      <c r="R12" s="12">
        <f>+Q12</f>
        <v>11.5</v>
      </c>
      <c r="T12" s="9"/>
      <c r="U12" s="11"/>
    </row>
    <row r="13" spans="1:21" s="2" customFormat="1" ht="12.75">
      <c r="A13" s="31"/>
      <c r="B13" s="1" t="s">
        <v>14</v>
      </c>
      <c r="D13" s="47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T13" s="9"/>
      <c r="U13" s="11"/>
    </row>
    <row r="14" spans="1:21" s="2" customFormat="1" ht="12.75">
      <c r="A14" s="31"/>
      <c r="B14" s="7" t="s">
        <v>27</v>
      </c>
      <c r="D14" s="47">
        <f aca="true" t="shared" si="2" ref="D14:P21">+$U41/4</f>
        <v>2.1125000000000003</v>
      </c>
      <c r="E14" s="12">
        <f t="shared" si="2"/>
        <v>2.1125000000000003</v>
      </c>
      <c r="F14" s="12">
        <f t="shared" si="2"/>
        <v>2.1125000000000003</v>
      </c>
      <c r="G14" s="12">
        <f t="shared" si="2"/>
        <v>2.1125000000000003</v>
      </c>
      <c r="H14" s="12">
        <f t="shared" si="2"/>
        <v>2.1125000000000003</v>
      </c>
      <c r="I14" s="12">
        <f t="shared" si="2"/>
        <v>2.1125000000000003</v>
      </c>
      <c r="J14" s="12">
        <f t="shared" si="2"/>
        <v>2.1125000000000003</v>
      </c>
      <c r="K14" s="12"/>
      <c r="L14" s="12"/>
      <c r="M14" s="12"/>
      <c r="N14" s="12"/>
      <c r="O14" s="12"/>
      <c r="P14" s="12"/>
      <c r="Q14" s="12"/>
      <c r="R14" s="12"/>
      <c r="T14" s="9"/>
      <c r="U14" s="11"/>
    </row>
    <row r="15" spans="1:21" s="2" customFormat="1" ht="12.75">
      <c r="A15" s="31"/>
      <c r="B15" s="1" t="s">
        <v>26</v>
      </c>
      <c r="D15" s="47">
        <f t="shared" si="2"/>
        <v>2.140625</v>
      </c>
      <c r="E15" s="12">
        <f t="shared" si="2"/>
        <v>2.140625</v>
      </c>
      <c r="F15" s="12">
        <f t="shared" si="2"/>
        <v>2.140625</v>
      </c>
      <c r="G15" s="12">
        <f t="shared" si="2"/>
        <v>2.140625</v>
      </c>
      <c r="H15" s="12">
        <f t="shared" si="2"/>
        <v>2.140625</v>
      </c>
      <c r="I15" s="12">
        <f t="shared" si="2"/>
        <v>2.140625</v>
      </c>
      <c r="J15" s="12">
        <f t="shared" si="2"/>
        <v>2.140625</v>
      </c>
      <c r="K15" s="12">
        <f t="shared" si="2"/>
        <v>2.140625</v>
      </c>
      <c r="L15" s="12">
        <f t="shared" si="2"/>
        <v>2.140625</v>
      </c>
      <c r="M15" s="12"/>
      <c r="N15" s="12"/>
      <c r="O15" s="12"/>
      <c r="P15" s="12"/>
      <c r="Q15" s="12"/>
      <c r="R15" s="12"/>
      <c r="T15" s="9"/>
      <c r="U15" s="11"/>
    </row>
    <row r="16" spans="1:21" s="2" customFormat="1" ht="12.75">
      <c r="A16" s="31"/>
      <c r="B16" s="1" t="s">
        <v>28</v>
      </c>
      <c r="D16" s="47">
        <f t="shared" si="2"/>
        <v>3.640125</v>
      </c>
      <c r="E16" s="12">
        <f t="shared" si="2"/>
        <v>3.640125</v>
      </c>
      <c r="F16" s="12">
        <f t="shared" si="2"/>
        <v>3.640125</v>
      </c>
      <c r="G16" s="12">
        <f t="shared" si="2"/>
        <v>3.640125</v>
      </c>
      <c r="H16" s="12">
        <f t="shared" si="2"/>
        <v>3.640125</v>
      </c>
      <c r="I16" s="12">
        <f t="shared" si="2"/>
        <v>3.640125</v>
      </c>
      <c r="J16" s="12">
        <f t="shared" si="2"/>
        <v>3.640125</v>
      </c>
      <c r="K16" s="12">
        <f t="shared" si="2"/>
        <v>3.640125</v>
      </c>
      <c r="L16" s="12">
        <f t="shared" si="2"/>
        <v>3.640125</v>
      </c>
      <c r="M16" s="12">
        <f t="shared" si="2"/>
        <v>3.640125</v>
      </c>
      <c r="N16" s="12"/>
      <c r="O16" s="12"/>
      <c r="P16" s="12"/>
      <c r="Q16" s="12"/>
      <c r="R16" s="12"/>
      <c r="T16" s="9"/>
      <c r="U16" s="11"/>
    </row>
    <row r="17" spans="1:21" s="2" customFormat="1" ht="12.75">
      <c r="A17" s="31"/>
      <c r="B17" s="1" t="s">
        <v>29</v>
      </c>
      <c r="D17" s="47">
        <f t="shared" si="2"/>
        <v>2.5185</v>
      </c>
      <c r="E17" s="12">
        <f t="shared" si="2"/>
        <v>2.5185</v>
      </c>
      <c r="F17" s="12">
        <f t="shared" si="2"/>
        <v>2.5185</v>
      </c>
      <c r="G17" s="12">
        <f t="shared" si="2"/>
        <v>2.5185</v>
      </c>
      <c r="H17" s="12">
        <f t="shared" si="2"/>
        <v>2.5185</v>
      </c>
      <c r="I17" s="12">
        <f t="shared" si="2"/>
        <v>2.5185</v>
      </c>
      <c r="J17" s="12">
        <f t="shared" si="2"/>
        <v>2.5185</v>
      </c>
      <c r="K17" s="12">
        <f t="shared" si="2"/>
        <v>2.5185</v>
      </c>
      <c r="L17" s="12">
        <f t="shared" si="2"/>
        <v>2.5185</v>
      </c>
      <c r="M17" s="12">
        <f t="shared" si="2"/>
        <v>2.5185</v>
      </c>
      <c r="N17" s="12">
        <f t="shared" si="2"/>
        <v>2.5185</v>
      </c>
      <c r="O17" s="12">
        <f t="shared" si="2"/>
        <v>2.5185</v>
      </c>
      <c r="P17" s="12">
        <f t="shared" si="2"/>
        <v>2.5185</v>
      </c>
      <c r="Q17" s="12">
        <v>1.5</v>
      </c>
      <c r="R17" s="12"/>
      <c r="T17" s="9"/>
      <c r="U17" s="11"/>
    </row>
    <row r="18" spans="1:21" s="2" customFormat="1" ht="12.75">
      <c r="A18" s="31"/>
      <c r="B18" s="1" t="s">
        <v>30</v>
      </c>
      <c r="D18" s="47">
        <f t="shared" si="2"/>
        <v>4.2</v>
      </c>
      <c r="E18" s="12">
        <f t="shared" si="2"/>
        <v>4.2</v>
      </c>
      <c r="F18" s="12">
        <f t="shared" si="2"/>
        <v>4.2</v>
      </c>
      <c r="G18" s="12">
        <f t="shared" si="2"/>
        <v>4.2</v>
      </c>
      <c r="H18" s="12">
        <f t="shared" si="2"/>
        <v>4.2</v>
      </c>
      <c r="I18" s="12">
        <f t="shared" si="2"/>
        <v>4.2</v>
      </c>
      <c r="J18" s="12">
        <f t="shared" si="2"/>
        <v>4.2</v>
      </c>
      <c r="K18" s="12">
        <f t="shared" si="2"/>
        <v>4.2</v>
      </c>
      <c r="L18" s="12">
        <f t="shared" si="2"/>
        <v>4.2</v>
      </c>
      <c r="M18" s="12">
        <f t="shared" si="2"/>
        <v>4.2</v>
      </c>
      <c r="N18" s="12">
        <f t="shared" si="2"/>
        <v>4.2</v>
      </c>
      <c r="O18" s="12">
        <f t="shared" si="2"/>
        <v>4.2</v>
      </c>
      <c r="P18" s="12">
        <f t="shared" si="2"/>
        <v>4.2</v>
      </c>
      <c r="Q18" s="12">
        <f>+P18*4</f>
        <v>16.8</v>
      </c>
      <c r="R18" s="12">
        <v>3</v>
      </c>
      <c r="T18" s="9"/>
      <c r="U18" s="11"/>
    </row>
    <row r="19" spans="1:21" s="2" customFormat="1" ht="12.75">
      <c r="A19" s="31"/>
      <c r="B19" s="1" t="s">
        <v>31</v>
      </c>
      <c r="D19" s="47">
        <f t="shared" si="2"/>
        <v>1.769625</v>
      </c>
      <c r="E19" s="12">
        <f t="shared" si="2"/>
        <v>1.769625</v>
      </c>
      <c r="F19" s="12">
        <f t="shared" si="2"/>
        <v>1.769625</v>
      </c>
      <c r="G19" s="12">
        <f t="shared" si="2"/>
        <v>1.769625</v>
      </c>
      <c r="H19" s="12">
        <f t="shared" si="2"/>
        <v>1.769625</v>
      </c>
      <c r="I19" s="12">
        <f t="shared" si="2"/>
        <v>1.769625</v>
      </c>
      <c r="J19" s="12">
        <f t="shared" si="2"/>
        <v>1.769625</v>
      </c>
      <c r="K19" s="12">
        <f t="shared" si="2"/>
        <v>1.769625</v>
      </c>
      <c r="L19" s="12">
        <f t="shared" si="2"/>
        <v>1.769625</v>
      </c>
      <c r="M19" s="12">
        <f t="shared" si="2"/>
        <v>1.769625</v>
      </c>
      <c r="N19" s="12">
        <f t="shared" si="2"/>
        <v>1.769625</v>
      </c>
      <c r="O19" s="12">
        <f t="shared" si="2"/>
        <v>1.769625</v>
      </c>
      <c r="P19" s="12">
        <f t="shared" si="2"/>
        <v>1.769625</v>
      </c>
      <c r="Q19" s="12">
        <f>+P19*4</f>
        <v>7.0785</v>
      </c>
      <c r="R19" s="12">
        <f>+Q19</f>
        <v>7.0785</v>
      </c>
      <c r="T19" s="9"/>
      <c r="U19" s="11"/>
    </row>
    <row r="20" spans="1:21" s="2" customFormat="1" ht="12.75">
      <c r="A20" s="31"/>
      <c r="B20" s="1" t="s">
        <v>32</v>
      </c>
      <c r="D20" s="47">
        <f t="shared" si="2"/>
        <v>5.8125</v>
      </c>
      <c r="E20" s="12">
        <f t="shared" si="2"/>
        <v>5.8125</v>
      </c>
      <c r="F20" s="12">
        <f t="shared" si="2"/>
        <v>5.8125</v>
      </c>
      <c r="G20" s="12">
        <f t="shared" si="2"/>
        <v>5.8125</v>
      </c>
      <c r="H20" s="12">
        <f t="shared" si="2"/>
        <v>5.8125</v>
      </c>
      <c r="I20" s="12">
        <f t="shared" si="2"/>
        <v>5.8125</v>
      </c>
      <c r="J20" s="12">
        <f t="shared" si="2"/>
        <v>5.8125</v>
      </c>
      <c r="K20" s="12">
        <f t="shared" si="2"/>
        <v>5.8125</v>
      </c>
      <c r="L20" s="12">
        <f t="shared" si="2"/>
        <v>5.8125</v>
      </c>
      <c r="M20" s="12">
        <f t="shared" si="2"/>
        <v>5.8125</v>
      </c>
      <c r="N20" s="12">
        <f t="shared" si="2"/>
        <v>5.8125</v>
      </c>
      <c r="O20" s="12">
        <f t="shared" si="2"/>
        <v>5.8125</v>
      </c>
      <c r="P20" s="12">
        <f t="shared" si="2"/>
        <v>5.8125</v>
      </c>
      <c r="Q20" s="12">
        <f>+P20*4</f>
        <v>23.25</v>
      </c>
      <c r="R20" s="12">
        <f>+Q20</f>
        <v>23.25</v>
      </c>
      <c r="T20" s="9"/>
      <c r="U20" s="11"/>
    </row>
    <row r="21" spans="1:21" s="2" customFormat="1" ht="12.75">
      <c r="A21" s="31"/>
      <c r="B21" s="1" t="s">
        <v>33</v>
      </c>
      <c r="D21" s="47">
        <f t="shared" si="2"/>
        <v>0.265625</v>
      </c>
      <c r="E21" s="12">
        <f t="shared" si="2"/>
        <v>0.265625</v>
      </c>
      <c r="F21" s="12">
        <f t="shared" si="2"/>
        <v>0.265625</v>
      </c>
      <c r="G21" s="12">
        <f t="shared" si="2"/>
        <v>0.265625</v>
      </c>
      <c r="H21" s="12">
        <f t="shared" si="2"/>
        <v>0.265625</v>
      </c>
      <c r="I21" s="12">
        <f t="shared" si="2"/>
        <v>0.265625</v>
      </c>
      <c r="J21" s="12">
        <f t="shared" si="2"/>
        <v>0.265625</v>
      </c>
      <c r="K21" s="12">
        <f t="shared" si="2"/>
        <v>0.265625</v>
      </c>
      <c r="L21" s="12">
        <f t="shared" si="2"/>
        <v>0.265625</v>
      </c>
      <c r="M21" s="12">
        <f t="shared" si="2"/>
        <v>0.265625</v>
      </c>
      <c r="N21" s="12">
        <f t="shared" si="2"/>
        <v>0.265625</v>
      </c>
      <c r="O21" s="12">
        <f t="shared" si="2"/>
        <v>0.265625</v>
      </c>
      <c r="P21" s="12">
        <f t="shared" si="2"/>
        <v>0.265625</v>
      </c>
      <c r="Q21" s="12">
        <f>+P21*4</f>
        <v>1.0625</v>
      </c>
      <c r="R21" s="12">
        <f>+Q21</f>
        <v>1.0625</v>
      </c>
      <c r="T21" s="9"/>
      <c r="U21" s="11"/>
    </row>
    <row r="22" spans="1:21" s="2" customFormat="1" ht="12.75">
      <c r="A22" s="31"/>
      <c r="B22" s="25" t="s">
        <v>39</v>
      </c>
      <c r="D22" s="4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T22" s="9"/>
      <c r="U22" s="11"/>
    </row>
    <row r="23" spans="1:21" s="2" customFormat="1" ht="12.75">
      <c r="A23" s="31"/>
      <c r="B23" s="2" t="s">
        <v>18</v>
      </c>
      <c r="D23" s="47">
        <v>20</v>
      </c>
      <c r="E23" s="12">
        <v>30</v>
      </c>
      <c r="F23" s="12">
        <f aca="true" t="shared" si="3" ref="F23:P23">+E23</f>
        <v>30</v>
      </c>
      <c r="G23" s="12">
        <f t="shared" si="3"/>
        <v>30</v>
      </c>
      <c r="H23" s="12">
        <f t="shared" si="3"/>
        <v>30</v>
      </c>
      <c r="I23" s="12">
        <f t="shared" si="3"/>
        <v>30</v>
      </c>
      <c r="J23" s="12">
        <f t="shared" si="3"/>
        <v>30</v>
      </c>
      <c r="K23" s="12">
        <f t="shared" si="3"/>
        <v>30</v>
      </c>
      <c r="L23" s="12">
        <f t="shared" si="3"/>
        <v>30</v>
      </c>
      <c r="M23" s="12">
        <f t="shared" si="3"/>
        <v>30</v>
      </c>
      <c r="N23" s="12">
        <f t="shared" si="3"/>
        <v>30</v>
      </c>
      <c r="O23" s="12">
        <f t="shared" si="3"/>
        <v>30</v>
      </c>
      <c r="P23" s="12">
        <f t="shared" si="3"/>
        <v>30</v>
      </c>
      <c r="Q23" s="12">
        <f>+P23*4</f>
        <v>120</v>
      </c>
      <c r="R23" s="12">
        <f>+Q23</f>
        <v>120</v>
      </c>
      <c r="T23" s="9"/>
      <c r="U23" s="11"/>
    </row>
    <row r="24" spans="1:21" s="2" customFormat="1" ht="12.75">
      <c r="A24" s="31"/>
      <c r="B24" s="2" t="s">
        <v>13</v>
      </c>
      <c r="D24" s="47"/>
      <c r="E24" s="12">
        <v>30</v>
      </c>
      <c r="F24" s="12">
        <f>+E24</f>
        <v>30</v>
      </c>
      <c r="G24" s="12">
        <f>+F24</f>
        <v>30</v>
      </c>
      <c r="H24" s="12">
        <f>+G24</f>
        <v>30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T24" s="9"/>
      <c r="U24" s="11"/>
    </row>
    <row r="25" spans="1:21" s="2" customFormat="1" ht="12.75">
      <c r="A25" s="31"/>
      <c r="D25" s="4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T25" s="9"/>
      <c r="U25" s="11"/>
    </row>
    <row r="26" spans="1:21" s="2" customFormat="1" ht="12.75">
      <c r="A26" s="31"/>
      <c r="B26" s="2" t="s">
        <v>71</v>
      </c>
      <c r="D26" s="47">
        <v>12.5</v>
      </c>
      <c r="E26" s="12">
        <v>12.5</v>
      </c>
      <c r="F26" s="12">
        <f>+E26</f>
        <v>12.5</v>
      </c>
      <c r="G26" s="12">
        <f aca="true" t="shared" si="4" ref="G26:P26">+F26</f>
        <v>12.5</v>
      </c>
      <c r="H26" s="12">
        <f t="shared" si="4"/>
        <v>12.5</v>
      </c>
      <c r="I26" s="12">
        <f t="shared" si="4"/>
        <v>12.5</v>
      </c>
      <c r="J26" s="12">
        <f t="shared" si="4"/>
        <v>12.5</v>
      </c>
      <c r="K26" s="12">
        <f t="shared" si="4"/>
        <v>12.5</v>
      </c>
      <c r="L26" s="12">
        <f t="shared" si="4"/>
        <v>12.5</v>
      </c>
      <c r="M26" s="12">
        <f t="shared" si="4"/>
        <v>12.5</v>
      </c>
      <c r="N26" s="12">
        <f t="shared" si="4"/>
        <v>12.5</v>
      </c>
      <c r="O26" s="12">
        <f t="shared" si="4"/>
        <v>12.5</v>
      </c>
      <c r="P26" s="12">
        <f t="shared" si="4"/>
        <v>12.5</v>
      </c>
      <c r="Q26" s="12">
        <f>+P26*4</f>
        <v>50</v>
      </c>
      <c r="R26" s="12">
        <f>+Q26</f>
        <v>50</v>
      </c>
      <c r="T26" s="9"/>
      <c r="U26" s="11"/>
    </row>
    <row r="27" spans="1:21" s="2" customFormat="1" ht="12.75">
      <c r="A27" s="31"/>
      <c r="D27" s="47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T27" s="9"/>
      <c r="U27" s="11"/>
    </row>
    <row r="28" spans="1:21" s="2" customFormat="1" ht="12.75">
      <c r="A28" s="31"/>
      <c r="B28" s="25" t="s">
        <v>19</v>
      </c>
      <c r="D28" s="47">
        <v>10</v>
      </c>
      <c r="E28" s="12">
        <f>+D28</f>
        <v>10</v>
      </c>
      <c r="F28" s="12">
        <v>8</v>
      </c>
      <c r="G28" s="12">
        <f aca="true" t="shared" si="5" ref="G28:P28">+F28</f>
        <v>8</v>
      </c>
      <c r="H28" s="12">
        <f t="shared" si="5"/>
        <v>8</v>
      </c>
      <c r="I28" s="12">
        <f t="shared" si="5"/>
        <v>8</v>
      </c>
      <c r="J28" s="12">
        <f t="shared" si="5"/>
        <v>8</v>
      </c>
      <c r="K28" s="12">
        <f t="shared" si="5"/>
        <v>8</v>
      </c>
      <c r="L28" s="12">
        <f t="shared" si="5"/>
        <v>8</v>
      </c>
      <c r="M28" s="12">
        <f t="shared" si="5"/>
        <v>8</v>
      </c>
      <c r="N28" s="12">
        <f t="shared" si="5"/>
        <v>8</v>
      </c>
      <c r="O28" s="12">
        <f t="shared" si="5"/>
        <v>8</v>
      </c>
      <c r="P28" s="12">
        <f t="shared" si="5"/>
        <v>8</v>
      </c>
      <c r="Q28" s="12">
        <f>+P28*4</f>
        <v>32</v>
      </c>
      <c r="R28" s="12">
        <f>+Q28</f>
        <v>32</v>
      </c>
      <c r="T28" s="9"/>
      <c r="U28" s="11"/>
    </row>
    <row r="29" spans="1:21" s="2" customFormat="1" ht="12.75">
      <c r="A29" s="31"/>
      <c r="D29" s="48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T29" s="9"/>
      <c r="U29" s="11"/>
    </row>
    <row r="30" spans="1:21" s="26" customFormat="1" ht="12.75">
      <c r="A30" s="32" t="s">
        <v>40</v>
      </c>
      <c r="B30" s="25" t="s">
        <v>21</v>
      </c>
      <c r="D30" s="46">
        <f>SUM(D9:D29)</f>
        <v>71.15950000000001</v>
      </c>
      <c r="E30" s="27">
        <f aca="true" t="shared" si="6" ref="E30:R30">SUM(E9:E29)</f>
        <v>109.9045</v>
      </c>
      <c r="F30" s="27">
        <f t="shared" si="6"/>
        <v>107.617</v>
      </c>
      <c r="G30" s="27">
        <f t="shared" si="6"/>
        <v>107.3295</v>
      </c>
      <c r="H30" s="27">
        <f t="shared" si="6"/>
        <v>107.042</v>
      </c>
      <c r="I30" s="27">
        <f t="shared" si="6"/>
        <v>76.75450000000001</v>
      </c>
      <c r="J30" s="27">
        <f t="shared" si="6"/>
        <v>75.8345</v>
      </c>
      <c r="K30" s="27">
        <f t="shared" si="6"/>
        <v>73.72200000000001</v>
      </c>
      <c r="L30" s="27">
        <f t="shared" si="6"/>
        <v>73.72200000000001</v>
      </c>
      <c r="M30" s="27">
        <f t="shared" si="6"/>
        <v>71.58137500000001</v>
      </c>
      <c r="N30" s="27">
        <f t="shared" si="6"/>
        <v>67.94125</v>
      </c>
      <c r="O30" s="27">
        <f t="shared" si="6"/>
        <v>67.94125</v>
      </c>
      <c r="P30" s="27">
        <f t="shared" si="6"/>
        <v>67.94125</v>
      </c>
      <c r="Q30" s="27">
        <f t="shared" si="6"/>
        <v>263.19100000000003</v>
      </c>
      <c r="R30" s="27">
        <f t="shared" si="6"/>
        <v>247.891</v>
      </c>
      <c r="T30" s="28"/>
      <c r="U30" s="29"/>
    </row>
    <row r="31" spans="1:21" s="26" customFormat="1" ht="12.75">
      <c r="A31" s="32"/>
      <c r="B31" s="25"/>
      <c r="D31" s="4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T31" s="28"/>
      <c r="U31" s="29"/>
    </row>
    <row r="32" spans="1:21" s="26" customFormat="1" ht="12.75">
      <c r="A32" s="32"/>
      <c r="B32" s="3" t="s">
        <v>35</v>
      </c>
      <c r="C32" s="3"/>
      <c r="D32" s="47">
        <v>52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T32" s="28"/>
      <c r="U32" s="29"/>
    </row>
    <row r="33" spans="1:21" s="2" customFormat="1" ht="12.75">
      <c r="A33" s="31"/>
      <c r="B33" s="3" t="s">
        <v>54</v>
      </c>
      <c r="C33" s="3"/>
      <c r="D33" s="48">
        <v>72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T33" s="9"/>
      <c r="U33" s="11"/>
    </row>
    <row r="34" spans="1:21" s="26" customFormat="1" ht="13.5" thickBot="1">
      <c r="A34" s="32" t="s">
        <v>41</v>
      </c>
      <c r="B34" s="25" t="s">
        <v>43</v>
      </c>
      <c r="C34" s="32" t="s">
        <v>44</v>
      </c>
      <c r="D34" s="49">
        <f>+D6-D30+D33+D32</f>
        <v>207.8405</v>
      </c>
      <c r="E34" s="33">
        <f aca="true" t="shared" si="7" ref="E34:R34">+E6-E30</f>
        <v>40.0955</v>
      </c>
      <c r="F34" s="33">
        <f t="shared" si="7"/>
        <v>42.382999999999996</v>
      </c>
      <c r="G34" s="33">
        <f t="shared" si="7"/>
        <v>42.670500000000004</v>
      </c>
      <c r="H34" s="33">
        <f t="shared" si="7"/>
        <v>42.958</v>
      </c>
      <c r="I34" s="33">
        <f t="shared" si="7"/>
        <v>73.24549999999999</v>
      </c>
      <c r="J34" s="33">
        <f t="shared" si="7"/>
        <v>74.1655</v>
      </c>
      <c r="K34" s="33">
        <f t="shared" si="7"/>
        <v>76.27799999999999</v>
      </c>
      <c r="L34" s="33">
        <f t="shared" si="7"/>
        <v>76.27799999999999</v>
      </c>
      <c r="M34" s="33">
        <f t="shared" si="7"/>
        <v>78.41862499999999</v>
      </c>
      <c r="N34" s="33">
        <f t="shared" si="7"/>
        <v>82.05875</v>
      </c>
      <c r="O34" s="33">
        <f t="shared" si="7"/>
        <v>82.05875</v>
      </c>
      <c r="P34" s="33">
        <f t="shared" si="7"/>
        <v>82.05875</v>
      </c>
      <c r="Q34" s="33">
        <f t="shared" si="7"/>
        <v>336.80899999999997</v>
      </c>
      <c r="R34" s="33">
        <f t="shared" si="7"/>
        <v>352.10900000000004</v>
      </c>
      <c r="T34" s="28"/>
      <c r="U34" s="29"/>
    </row>
    <row r="35" spans="1:21" s="2" customFormat="1" ht="13.5" thickTop="1">
      <c r="A35" s="31"/>
      <c r="B35" s="3"/>
      <c r="C35" s="3"/>
      <c r="D35" s="47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T35" s="39" t="s">
        <v>55</v>
      </c>
      <c r="U35" s="40" t="s">
        <v>49</v>
      </c>
    </row>
    <row r="36" spans="2:21" ht="12.75">
      <c r="B36" s="54" t="s">
        <v>22</v>
      </c>
      <c r="D36" s="50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T36" s="41" t="s">
        <v>22</v>
      </c>
      <c r="U36" s="42" t="s">
        <v>48</v>
      </c>
    </row>
    <row r="37" spans="1:21" ht="12.75">
      <c r="A37" s="6" t="s">
        <v>42</v>
      </c>
      <c r="B37" s="1" t="s">
        <v>70</v>
      </c>
      <c r="C37" s="1">
        <v>266</v>
      </c>
      <c r="D37" s="50">
        <v>86</v>
      </c>
      <c r="E37" s="14">
        <v>25</v>
      </c>
      <c r="F37" s="14">
        <v>25</v>
      </c>
      <c r="G37" s="14">
        <v>25</v>
      </c>
      <c r="H37" s="14">
        <v>25</v>
      </c>
      <c r="I37" s="14">
        <f>266-(+D37+E37+F37+G37+H37)</f>
        <v>80</v>
      </c>
      <c r="J37" s="14"/>
      <c r="K37" s="14"/>
      <c r="L37" s="14"/>
      <c r="M37" s="14"/>
      <c r="N37" s="14"/>
      <c r="O37" s="14"/>
      <c r="P37" s="14"/>
      <c r="Q37" s="14"/>
      <c r="R37" s="14"/>
      <c r="T37" s="10">
        <f>+C37-D37</f>
        <v>180</v>
      </c>
      <c r="U37" s="5">
        <f>+T37*0.046</f>
        <v>8.28</v>
      </c>
    </row>
    <row r="38" spans="1:20" ht="12.75">
      <c r="A38" s="6" t="s">
        <v>42</v>
      </c>
      <c r="B38" s="1" t="s">
        <v>25</v>
      </c>
      <c r="C38" s="1">
        <v>35</v>
      </c>
      <c r="D38" s="50">
        <v>35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T38" s="10">
        <f>+C38-D38</f>
        <v>0</v>
      </c>
    </row>
    <row r="39" spans="1:21" ht="12.75">
      <c r="A39" s="6" t="s">
        <v>42</v>
      </c>
      <c r="B39" s="1" t="s">
        <v>34</v>
      </c>
      <c r="C39" s="8">
        <f>+T39</f>
        <v>184</v>
      </c>
      <c r="D39" s="50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>
        <v>184</v>
      </c>
      <c r="T39" s="10">
        <f aca="true" t="shared" si="8" ref="T39:T48">SUM(D39:S39)</f>
        <v>184</v>
      </c>
      <c r="U39" s="5">
        <f>+T39*0.0625</f>
        <v>11.5</v>
      </c>
    </row>
    <row r="40" spans="1:18" ht="12.75">
      <c r="A40" s="6" t="s">
        <v>42</v>
      </c>
      <c r="B40" s="19" t="s">
        <v>14</v>
      </c>
      <c r="C40" s="1"/>
      <c r="D40" s="50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21" ht="12.75">
      <c r="A41" s="6" t="s">
        <v>42</v>
      </c>
      <c r="B41" s="7" t="s">
        <v>27</v>
      </c>
      <c r="C41" s="8">
        <v>130</v>
      </c>
      <c r="D41" s="50"/>
      <c r="E41" s="14"/>
      <c r="F41" s="14"/>
      <c r="G41" s="14"/>
      <c r="H41" s="14"/>
      <c r="I41" s="14"/>
      <c r="J41" s="14"/>
      <c r="K41" s="14">
        <v>130</v>
      </c>
      <c r="L41" s="14"/>
      <c r="M41" s="14"/>
      <c r="N41" s="14"/>
      <c r="O41" s="14"/>
      <c r="P41" s="14"/>
      <c r="Q41" s="14"/>
      <c r="R41" s="14"/>
      <c r="T41" s="10">
        <f t="shared" si="8"/>
        <v>130</v>
      </c>
      <c r="U41" s="5">
        <f>+T41*0.065</f>
        <v>8.450000000000001</v>
      </c>
    </row>
    <row r="42" spans="1:21" ht="12.75">
      <c r="A42" s="6" t="s">
        <v>42</v>
      </c>
      <c r="B42" s="1" t="s">
        <v>26</v>
      </c>
      <c r="C42" s="8">
        <v>125</v>
      </c>
      <c r="D42" s="50"/>
      <c r="E42" s="14"/>
      <c r="F42" s="14"/>
      <c r="G42" s="14"/>
      <c r="H42" s="14"/>
      <c r="I42" s="14"/>
      <c r="J42" s="14"/>
      <c r="K42" s="14"/>
      <c r="L42" s="14">
        <v>125</v>
      </c>
      <c r="M42" s="14"/>
      <c r="N42" s="14"/>
      <c r="O42" s="14"/>
      <c r="P42" s="14"/>
      <c r="Q42" s="14"/>
      <c r="R42" s="14"/>
      <c r="T42" s="10">
        <f t="shared" si="8"/>
        <v>125</v>
      </c>
      <c r="U42" s="5">
        <f>+T42*0.0685</f>
        <v>8.5625</v>
      </c>
    </row>
    <row r="43" spans="1:21" ht="12.75">
      <c r="A43" s="6" t="s">
        <v>42</v>
      </c>
      <c r="B43" s="1" t="s">
        <v>28</v>
      </c>
      <c r="C43" s="8">
        <v>255</v>
      </c>
      <c r="D43" s="50"/>
      <c r="E43" s="14"/>
      <c r="F43" s="14"/>
      <c r="G43" s="14"/>
      <c r="H43" s="14"/>
      <c r="I43" s="14"/>
      <c r="J43" s="14"/>
      <c r="K43" s="14"/>
      <c r="L43" s="14"/>
      <c r="M43" s="14"/>
      <c r="N43" s="14">
        <v>255</v>
      </c>
      <c r="O43" s="14"/>
      <c r="P43" s="14"/>
      <c r="Q43" s="14"/>
      <c r="R43" s="14"/>
      <c r="T43" s="10">
        <f t="shared" si="8"/>
        <v>255</v>
      </c>
      <c r="U43" s="5">
        <f>+T43*0.0571</f>
        <v>14.5605</v>
      </c>
    </row>
    <row r="44" spans="1:21" ht="12.75">
      <c r="A44" s="6" t="s">
        <v>42</v>
      </c>
      <c r="B44" s="1" t="s">
        <v>29</v>
      </c>
      <c r="C44" s="8">
        <v>138</v>
      </c>
      <c r="D44" s="50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>
        <v>138</v>
      </c>
      <c r="R44" s="14"/>
      <c r="T44" s="10">
        <f t="shared" si="8"/>
        <v>138</v>
      </c>
      <c r="U44" s="5">
        <f>+T44*0.073</f>
        <v>10.074</v>
      </c>
    </row>
    <row r="45" spans="1:21" ht="12.75">
      <c r="A45" s="6" t="s">
        <v>42</v>
      </c>
      <c r="B45" s="1" t="s">
        <v>30</v>
      </c>
      <c r="C45" s="8">
        <v>320</v>
      </c>
      <c r="D45" s="50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>
        <v>320</v>
      </c>
      <c r="T45" s="10">
        <f t="shared" si="8"/>
        <v>320</v>
      </c>
      <c r="U45" s="5">
        <f>+T45*0.0525</f>
        <v>16.8</v>
      </c>
    </row>
    <row r="46" spans="1:21" ht="12.75">
      <c r="A46" s="6" t="s">
        <v>42</v>
      </c>
      <c r="B46" s="1" t="s">
        <v>31</v>
      </c>
      <c r="C46" s="8">
        <v>121</v>
      </c>
      <c r="D46" s="50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>
        <v>121</v>
      </c>
      <c r="T46" s="10">
        <f t="shared" si="8"/>
        <v>121</v>
      </c>
      <c r="U46" s="5">
        <f>+T46*0.0585</f>
        <v>7.0785</v>
      </c>
    </row>
    <row r="47" spans="1:21" ht="12.75">
      <c r="A47" s="6" t="s">
        <v>42</v>
      </c>
      <c r="B47" s="1" t="s">
        <v>32</v>
      </c>
      <c r="C47" s="8">
        <v>300</v>
      </c>
      <c r="D47" s="50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>
        <v>300</v>
      </c>
      <c r="T47" s="10">
        <f t="shared" si="8"/>
        <v>300</v>
      </c>
      <c r="U47" s="5">
        <f>+T47*0.0775</f>
        <v>23.25</v>
      </c>
    </row>
    <row r="48" spans="1:21" ht="12.75">
      <c r="A48" s="6" t="s">
        <v>42</v>
      </c>
      <c r="B48" s="1" t="s">
        <v>33</v>
      </c>
      <c r="C48" s="8">
        <v>17</v>
      </c>
      <c r="D48" s="50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>
        <v>17</v>
      </c>
      <c r="T48" s="10">
        <f t="shared" si="8"/>
        <v>17</v>
      </c>
      <c r="U48" s="5">
        <f>+T48*0.0625</f>
        <v>1.0625</v>
      </c>
    </row>
    <row r="49" spans="2:18" ht="13.5" thickBot="1">
      <c r="B49" s="19" t="s">
        <v>69</v>
      </c>
      <c r="C49" s="70">
        <f>SUM(C37:C48)</f>
        <v>1891</v>
      </c>
      <c r="D49" s="50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16" customFormat="1" ht="14.25" thickBot="1" thickTop="1">
      <c r="A50" s="17" t="s">
        <v>45</v>
      </c>
      <c r="B50" s="16" t="s">
        <v>53</v>
      </c>
      <c r="C50" s="17" t="s">
        <v>51</v>
      </c>
      <c r="D50" s="51">
        <f aca="true" t="shared" si="9" ref="D50:R50">-SUM(D35:D49)+D34</f>
        <v>86.84049999999999</v>
      </c>
      <c r="E50" s="34">
        <f t="shared" si="9"/>
        <v>15.095500000000001</v>
      </c>
      <c r="F50" s="34">
        <f t="shared" si="9"/>
        <v>17.382999999999996</v>
      </c>
      <c r="G50" s="34">
        <f t="shared" si="9"/>
        <v>17.670500000000004</v>
      </c>
      <c r="H50" s="34">
        <f t="shared" si="9"/>
        <v>17.958</v>
      </c>
      <c r="I50" s="34">
        <f t="shared" si="9"/>
        <v>-6.754500000000007</v>
      </c>
      <c r="J50" s="34">
        <f t="shared" si="9"/>
        <v>74.1655</v>
      </c>
      <c r="K50" s="34">
        <f t="shared" si="9"/>
        <v>-53.72200000000001</v>
      </c>
      <c r="L50" s="34">
        <f t="shared" si="9"/>
        <v>-48.72200000000001</v>
      </c>
      <c r="M50" s="34">
        <f t="shared" si="9"/>
        <v>78.41862499999999</v>
      </c>
      <c r="N50" s="34">
        <f t="shared" si="9"/>
        <v>-172.94125</v>
      </c>
      <c r="O50" s="34">
        <f t="shared" si="9"/>
        <v>82.05875</v>
      </c>
      <c r="P50" s="34">
        <f t="shared" si="9"/>
        <v>82.05875</v>
      </c>
      <c r="Q50" s="34">
        <f t="shared" si="9"/>
        <v>198.80899999999997</v>
      </c>
      <c r="R50" s="34">
        <f t="shared" si="9"/>
        <v>32.10900000000004</v>
      </c>
      <c r="S50" s="35"/>
      <c r="T50" s="57">
        <f>SUM(T35:T49)</f>
        <v>1770</v>
      </c>
      <c r="U50" s="57">
        <f>SUM(U35:U49)</f>
        <v>109.61800000000001</v>
      </c>
    </row>
    <row r="51" spans="4:19" ht="14.25" thickBot="1" thickTop="1">
      <c r="D51" s="5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4"/>
    </row>
    <row r="52" spans="1:21" s="16" customFormat="1" ht="13.5" thickBot="1">
      <c r="A52" s="17" t="s">
        <v>52</v>
      </c>
      <c r="B52" s="16" t="s">
        <v>23</v>
      </c>
      <c r="D52" s="52">
        <f>+D50</f>
        <v>86.84049999999999</v>
      </c>
      <c r="E52" s="36">
        <f>+D52+E50</f>
        <v>101.93599999999999</v>
      </c>
      <c r="F52" s="36">
        <f aca="true" t="shared" si="10" ref="F52:R52">+E52+F50</f>
        <v>119.31899999999999</v>
      </c>
      <c r="G52" s="36">
        <f t="shared" si="10"/>
        <v>136.9895</v>
      </c>
      <c r="H52" s="36">
        <f t="shared" si="10"/>
        <v>154.9475</v>
      </c>
      <c r="I52" s="36">
        <f t="shared" si="10"/>
        <v>148.19299999999998</v>
      </c>
      <c r="J52" s="36">
        <f t="shared" si="10"/>
        <v>222.3585</v>
      </c>
      <c r="K52" s="36">
        <f t="shared" si="10"/>
        <v>168.63649999999998</v>
      </c>
      <c r="L52" s="15">
        <f t="shared" si="10"/>
        <v>119.91449999999998</v>
      </c>
      <c r="M52" s="36">
        <f t="shared" si="10"/>
        <v>198.33312499999997</v>
      </c>
      <c r="N52" s="15">
        <f t="shared" si="10"/>
        <v>25.39187499999997</v>
      </c>
      <c r="O52" s="36">
        <f t="shared" si="10"/>
        <v>107.45062499999997</v>
      </c>
      <c r="P52" s="36">
        <f t="shared" si="10"/>
        <v>189.50937499999998</v>
      </c>
      <c r="Q52" s="36">
        <f t="shared" si="10"/>
        <v>388.31837499999995</v>
      </c>
      <c r="R52" s="36">
        <f t="shared" si="10"/>
        <v>420.427375</v>
      </c>
      <c r="S52" s="35"/>
      <c r="T52" s="37"/>
      <c r="U52" s="18"/>
    </row>
    <row r="53" ht="13.5" thickBot="1">
      <c r="B53" s="55" t="s">
        <v>50</v>
      </c>
    </row>
    <row r="54" spans="15:20" ht="18.75" thickBot="1">
      <c r="O54" s="19" t="s">
        <v>68</v>
      </c>
      <c r="P54" s="1" t="s">
        <v>58</v>
      </c>
      <c r="Q54" t="s">
        <v>57</v>
      </c>
      <c r="R54" s="14">
        <f>(+$E$6+$F$6)*2</f>
        <v>600</v>
      </c>
      <c r="S54" s="17" t="s">
        <v>67</v>
      </c>
      <c r="T54" s="71">
        <f>+T50/+(R54)</f>
        <v>2.95</v>
      </c>
    </row>
    <row r="55" spans="15:20" ht="12.75">
      <c r="O55" s="1"/>
      <c r="P55" s="1"/>
      <c r="T55" s="56"/>
    </row>
    <row r="56" spans="20:21" ht="13.5" thickBot="1">
      <c r="T56" s="1" t="s">
        <v>62</v>
      </c>
      <c r="U56" s="58">
        <f>+U50*0.5</f>
        <v>54.809000000000005</v>
      </c>
    </row>
    <row r="57" spans="15:21" ht="18.75" thickBot="1">
      <c r="O57" s="19" t="s">
        <v>59</v>
      </c>
      <c r="P57" s="1" t="s">
        <v>58</v>
      </c>
      <c r="Q57" t="s">
        <v>57</v>
      </c>
      <c r="R57" s="14">
        <f>(+$E$6+$F$6)</f>
        <v>300</v>
      </c>
      <c r="T57" s="24" t="s">
        <v>60</v>
      </c>
      <c r="U57" s="69">
        <f>+R57/U56</f>
        <v>5.473553613457644</v>
      </c>
    </row>
    <row r="60" spans="4:5" ht="12.75">
      <c r="D60" s="60" t="s">
        <v>66</v>
      </c>
      <c r="E60" s="61"/>
    </row>
    <row r="61" spans="4:5" ht="12.75">
      <c r="D61" s="62" t="s">
        <v>24</v>
      </c>
      <c r="E61" s="63" t="s">
        <v>19</v>
      </c>
    </row>
    <row r="62" spans="4:6" ht="12.75">
      <c r="D62" s="6">
        <v>1</v>
      </c>
      <c r="E62" s="5">
        <f>10*25*0.0425</f>
        <v>10.625</v>
      </c>
      <c r="F62" t="s">
        <v>61</v>
      </c>
    </row>
    <row r="63" spans="4:5" ht="12.75">
      <c r="D63" s="6">
        <v>2</v>
      </c>
      <c r="E63" s="5">
        <f>6*1.25</f>
        <v>7.5</v>
      </c>
    </row>
    <row r="64" spans="4:5" ht="12.75">
      <c r="D64" s="6">
        <v>3</v>
      </c>
      <c r="E64" s="5">
        <f>203*0.0675</f>
        <v>13.7025</v>
      </c>
    </row>
    <row r="65" spans="4:5" ht="12.75">
      <c r="D65" s="6">
        <v>5</v>
      </c>
      <c r="E65" s="5">
        <f>123*0.069</f>
        <v>8.487</v>
      </c>
    </row>
    <row r="66" spans="4:5" ht="12.75">
      <c r="D66" s="6">
        <v>7</v>
      </c>
      <c r="E66" s="5">
        <f>3*0.05</f>
        <v>0.15000000000000002</v>
      </c>
    </row>
    <row r="68" spans="4:5" ht="13.5" thickBot="1">
      <c r="D68" s="16" t="s">
        <v>37</v>
      </c>
      <c r="E68" s="59">
        <f>SUM(E62:E67)</f>
        <v>40.4645</v>
      </c>
    </row>
    <row r="69" ht="13.5" thickTop="1"/>
  </sheetData>
  <sheetProtection/>
  <printOptions/>
  <pageMargins left="0.75" right="0.75" top="1" bottom="1" header="0.5" footer="0.5"/>
  <pageSetup orientation="portrait" paperSize="9"/>
  <ignoredErrors>
    <ignoredError sqref="T41:T48" formulaRange="1"/>
    <ignoredError sqref="Q23:Q2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GlenReal3D</cp:lastModifiedBy>
  <cp:lastPrinted>2012-05-23T23:35:49Z</cp:lastPrinted>
  <dcterms:created xsi:type="dcterms:W3CDTF">2011-12-06T13:40:04Z</dcterms:created>
  <dcterms:modified xsi:type="dcterms:W3CDTF">2012-06-04T04:07:19Z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