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35" windowWidth="22410" windowHeight="13095" activeTab="1"/>
  </bookViews>
  <sheets>
    <sheet name="Closes Debt at Market Prices" sheetId="1" r:id="rId1"/>
    <sheet name="Renews Revolv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Consolidated stmt of Cash Flows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2"/>
          </rPr>
          <t xml:space="preserve">Cleared per IR </t>
        </r>
        <r>
          <rPr>
            <sz val="9"/>
            <rFont val="Tahoma"/>
            <family val="2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2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2"/>
          </rPr>
          <t>Jan 1, 2013 installment + Feb balance due</t>
        </r>
        <r>
          <rPr>
            <sz val="9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2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>Cleared per IR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Vic</author>
  </authors>
  <commentLis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2"/>
          </rPr>
          <t xml:space="preserve">Cleared per IR </t>
        </r>
        <r>
          <rPr>
            <sz val="9"/>
            <rFont val="Tahoma"/>
            <family val="2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2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2"/>
          </rPr>
          <t>Jan 1, 2013 installment + Feb balance due</t>
        </r>
        <r>
          <rPr>
            <sz val="9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2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2"/>
          </rPr>
          <t>Cleared per IR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Consolidated stmt of Cash Flows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<sst xmlns="http://schemas.openxmlformats.org/spreadsheetml/2006/main" count="298" uniqueCount="101">
  <si>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</si>
  <si>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</si>
  <si>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</si>
  <si>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</si>
  <si>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</si>
  <si>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</si>
  <si>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</si>
  <si>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</si>
  <si>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</si>
  <si>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</si>
  <si>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</si>
  <si>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</si>
  <si>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Medium Term Notes</t>
  </si>
  <si>
    <t>A</t>
  </si>
  <si>
    <t>Interest expense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</si>
  <si>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</si>
  <si>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</si>
  <si>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</si>
  <si>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</si>
  <si>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</si>
  <si>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</si>
  <si>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</si>
  <si>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</si>
  <si>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</si>
  <si>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</si>
  <si>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</si>
  <si>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</si>
  <si>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</si>
  <si>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</si>
  <si>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</si>
  <si>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</si>
  <si>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</si>
  <si>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</si>
  <si>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</si>
  <si>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</si>
  <si>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</si>
  <si>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</si>
  <si>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</si>
  <si>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</si>
  <si>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</si>
  <si>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</si>
  <si>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</si>
  <si>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</si>
  <si>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</si>
  <si>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</si>
  <si>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</si>
  <si>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</si>
  <si>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</si>
  <si>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</si>
  <si>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</si>
  <si>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</si>
  <si>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</si>
  <si>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</si>
  <si>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</si>
  <si>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</si>
  <si>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6-month finance charges &gt;&gt;&gt;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</si>
  <si>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</si>
  <si>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</si>
  <si>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</si>
  <si>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</si>
  <si>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</si>
  <si>
    <t>CAPEX</t>
  </si>
  <si>
    <t>Online revenues</t>
  </si>
  <si>
    <t>Print revenues</t>
  </si>
  <si>
    <t xml:space="preserve">  Online EBITDA</t>
  </si>
  <si>
    <t>Revenue growth</t>
  </si>
  <si>
    <t xml:space="preserve">  Print EBITDA</t>
  </si>
  <si>
    <t>Revenue decline</t>
  </si>
  <si>
    <t>Total revenues</t>
  </si>
  <si>
    <t>Percent</t>
  </si>
  <si>
    <t>Credit Facility NRT 4.4%</t>
  </si>
  <si>
    <t>Credit Facility  RT  4.4%</t>
  </si>
  <si>
    <t>Credit Facility - NRT</t>
  </si>
  <si>
    <t>Credit Facility -   RT</t>
  </si>
  <si>
    <t>Shares</t>
  </si>
  <si>
    <t xml:space="preserve">$     </t>
  </si>
  <si>
    <t>Adjustments for ratios</t>
  </si>
  <si>
    <t xml:space="preserve">  Cash</t>
  </si>
  <si>
    <t>Q4</t>
  </si>
  <si>
    <t>LOC</t>
  </si>
  <si>
    <t>net debt</t>
  </si>
  <si>
    <t>convertible debentures</t>
  </si>
  <si>
    <t>Interest adj (timing)</t>
  </si>
  <si>
    <t>Net inc/(loss)-disc Ops</t>
  </si>
  <si>
    <t>Balancing adjustment</t>
  </si>
  <si>
    <t>Accumulated unpaid dividends - C &amp; D's</t>
  </si>
  <si>
    <t>Online - quarterly change (+/-)</t>
  </si>
  <si>
    <t>Print    - quarterly change (+/-)</t>
  </si>
  <si>
    <t>Preferred</t>
  </si>
  <si>
    <t>Yellow Media</t>
  </si>
  <si>
    <t>Enter the changes in decimals</t>
  </si>
  <si>
    <t xml:space="preserve">  &lt;&lt;&lt;   Note declining margins</t>
  </si>
  <si>
    <t xml:space="preserve">EBITDA Total    </t>
  </si>
  <si>
    <t>Other</t>
  </si>
  <si>
    <t>Other finance charges</t>
  </si>
  <si>
    <t>Pension top-up</t>
  </si>
  <si>
    <t xml:space="preserve">Income Taxes </t>
  </si>
  <si>
    <t>Change in operating assets/liabilities</t>
  </si>
  <si>
    <t>new</t>
  </si>
  <si>
    <t>EBITDA  rate</t>
  </si>
  <si>
    <t>Revised: May 31,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</si>
</sst>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&quot;$&quot;#,##0.0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;[Red]0.0"/>
    <numFmt numFmtId="181" formatCode="0.0_ ;[Red]\-0.0\ "/>
    <numFmt numFmtId="182" formatCode="0.0000000"/>
    <numFmt numFmtId="183" formatCode="0.000000"/>
    <numFmt numFmtId="184" formatCode="0.00000"/>
    <numFmt numFmtId="185" formatCode="0.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10" xfId="0" applyNumberFormat="1" applyFill="1" applyBorder="1" applyAlignment="1">
      <alignment horizontal="right"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11" xfId="0" applyNumberFormat="1" applyFont="1" applyFill="1" applyBorder="1" applyAlignment="1">
      <alignment horizontal="right"/>
    </xf>
    <xf numFmtId="17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72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72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75" fontId="2" fillId="0" borderId="11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2" fontId="2" fillId="0" borderId="11" xfId="0" applyNumberFormat="1" applyFont="1" applyBorder="1" applyAlignment="1">
      <alignment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173" fontId="8" fillId="24" borderId="12" xfId="0" applyNumberFormat="1" applyFont="1" applyFill="1" applyBorder="1" applyAlignment="1">
      <alignment horizontal="center"/>
    </xf>
    <xf numFmtId="2" fontId="8" fillId="24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73" fontId="2" fillId="20" borderId="13" xfId="0" applyNumberFormat="1" applyFont="1" applyFill="1" applyBorder="1" applyAlignment="1">
      <alignment horizontal="right"/>
    </xf>
    <xf numFmtId="173" fontId="2" fillId="20" borderId="0" xfId="0" applyNumberFormat="1" applyFont="1" applyFill="1" applyBorder="1" applyAlignment="1">
      <alignment horizontal="right"/>
    </xf>
    <xf numFmtId="173" fontId="2" fillId="2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1" fontId="0" fillId="0" borderId="0" xfId="42" applyFont="1" applyAlignment="1">
      <alignment/>
    </xf>
    <xf numFmtId="179" fontId="0" fillId="0" borderId="0" xfId="42" applyNumberFormat="1" applyFont="1" applyAlignment="1">
      <alignment/>
    </xf>
    <xf numFmtId="0" fontId="2" fillId="7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10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81" fontId="2" fillId="0" borderId="11" xfId="0" applyNumberFormat="1" applyFont="1" applyBorder="1" applyAlignment="1">
      <alignment/>
    </xf>
    <xf numFmtId="181" fontId="2" fillId="24" borderId="14" xfId="0" applyNumberFormat="1" applyFont="1" applyFill="1" applyBorder="1" applyAlignment="1">
      <alignment/>
    </xf>
    <xf numFmtId="181" fontId="2" fillId="24" borderId="0" xfId="0" applyNumberFormat="1" applyFont="1" applyFill="1" applyAlignment="1">
      <alignment/>
    </xf>
    <xf numFmtId="181" fontId="2" fillId="24" borderId="12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173" fontId="2" fillId="4" borderId="16" xfId="0" applyNumberFormat="1" applyFont="1" applyFill="1" applyBorder="1" applyAlignment="1">
      <alignment/>
    </xf>
    <xf numFmtId="173" fontId="2" fillId="4" borderId="17" xfId="0" applyNumberFormat="1" applyFont="1" applyFill="1" applyBorder="1" applyAlignment="1">
      <alignment/>
    </xf>
    <xf numFmtId="173" fontId="2" fillId="26" borderId="0" xfId="0" applyNumberFormat="1" applyFont="1" applyFill="1" applyAlignment="1">
      <alignment horizontal="right"/>
    </xf>
    <xf numFmtId="176" fontId="37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right"/>
    </xf>
    <xf numFmtId="10" fontId="39" fillId="0" borderId="19" xfId="0" applyNumberFormat="1" applyFont="1" applyBorder="1" applyAlignment="1">
      <alignment horizontal="right"/>
    </xf>
    <xf numFmtId="10" fontId="39" fillId="0" borderId="20" xfId="0" applyNumberFormat="1" applyFont="1" applyBorder="1" applyAlignment="1">
      <alignment horizontal="right"/>
    </xf>
    <xf numFmtId="1" fontId="38" fillId="0" borderId="0" xfId="0" applyNumberFormat="1" applyFont="1" applyAlignment="1">
      <alignment horizontal="right"/>
    </xf>
    <xf numFmtId="172" fontId="38" fillId="0" borderId="0" xfId="0" applyNumberFormat="1" applyFont="1" applyAlignment="1">
      <alignment horizontal="righ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right"/>
    </xf>
    <xf numFmtId="10" fontId="40" fillId="0" borderId="19" xfId="0" applyNumberFormat="1" applyFont="1" applyBorder="1" applyAlignment="1">
      <alignment horizontal="right"/>
    </xf>
    <xf numFmtId="10" fontId="40" fillId="0" borderId="20" xfId="0" applyNumberFormat="1" applyFont="1" applyBorder="1" applyAlignment="1">
      <alignment horizontal="right"/>
    </xf>
    <xf numFmtId="181" fontId="2" fillId="24" borderId="0" xfId="0" applyNumberFormat="1" applyFont="1" applyFill="1" applyBorder="1" applyAlignment="1">
      <alignment/>
    </xf>
    <xf numFmtId="173" fontId="2" fillId="4" borderId="0" xfId="0" applyNumberFormat="1" applyFont="1" applyFill="1" applyBorder="1" applyAlignment="1">
      <alignment/>
    </xf>
    <xf numFmtId="173" fontId="2" fillId="24" borderId="11" xfId="0" applyNumberFormat="1" applyFont="1" applyFill="1" applyBorder="1" applyAlignment="1">
      <alignment horizontal="right"/>
    </xf>
    <xf numFmtId="173" fontId="2" fillId="11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173" fontId="0" fillId="0" borderId="0" xfId="0" applyNumberFormat="1" applyBorder="1" applyAlignment="1">
      <alignment/>
    </xf>
    <xf numFmtId="181" fontId="2" fillId="24" borderId="10" xfId="0" applyNumberFormat="1" applyFont="1" applyFill="1" applyBorder="1" applyAlignment="1">
      <alignment/>
    </xf>
    <xf numFmtId="0" fontId="2" fillId="24" borderId="21" xfId="0" applyFont="1" applyFill="1" applyBorder="1" applyAlignment="1">
      <alignment horizontal="right"/>
    </xf>
    <xf numFmtId="10" fontId="14" fillId="0" borderId="22" xfId="0" applyNumberFormat="1" applyFont="1" applyBorder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173" fontId="0" fillId="4" borderId="22" xfId="0" applyNumberFormat="1" applyFill="1" applyBorder="1" applyAlignment="1">
      <alignment horizontal="right"/>
    </xf>
    <xf numFmtId="10" fontId="0" fillId="4" borderId="22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0" fontId="9" fillId="4" borderId="22" xfId="0" applyNumberFormat="1" applyFont="1" applyFill="1" applyBorder="1" applyAlignment="1">
      <alignment horizontal="right"/>
    </xf>
    <xf numFmtId="173" fontId="2" fillId="4" borderId="22" xfId="0" applyNumberFormat="1" applyFont="1" applyFill="1" applyBorder="1" applyAlignment="1">
      <alignment horizontal="right"/>
    </xf>
    <xf numFmtId="176" fontId="2" fillId="4" borderId="22" xfId="0" applyNumberFormat="1" applyFont="1" applyFill="1" applyBorder="1" applyAlignment="1">
      <alignment horizontal="right"/>
    </xf>
    <xf numFmtId="173" fontId="0" fillId="4" borderId="14" xfId="0" applyNumberFormat="1" applyFill="1" applyBorder="1" applyAlignment="1">
      <alignment horizontal="right"/>
    </xf>
    <xf numFmtId="173" fontId="2" fillId="4" borderId="13" xfId="0" applyNumberFormat="1" applyFont="1" applyFill="1" applyBorder="1" applyAlignment="1">
      <alignment horizontal="right"/>
    </xf>
    <xf numFmtId="173" fontId="0" fillId="4" borderId="22" xfId="0" applyNumberFormat="1" applyFill="1" applyBorder="1" applyAlignment="1">
      <alignment/>
    </xf>
    <xf numFmtId="173" fontId="2" fillId="4" borderId="22" xfId="0" applyNumberFormat="1" applyFont="1" applyFill="1" applyBorder="1" applyAlignment="1">
      <alignment/>
    </xf>
    <xf numFmtId="181" fontId="2" fillId="4" borderId="13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1" fillId="4" borderId="22" xfId="0" applyFont="1" applyFill="1" applyBorder="1" applyAlignment="1">
      <alignment horizontal="center"/>
    </xf>
    <xf numFmtId="181" fontId="2" fillId="4" borderId="22" xfId="0" applyNumberFormat="1" applyFont="1" applyFill="1" applyBorder="1" applyAlignment="1">
      <alignment horizontal="right"/>
    </xf>
    <xf numFmtId="10" fontId="40" fillId="0" borderId="12" xfId="0" applyNumberFormat="1" applyFont="1" applyBorder="1" applyAlignment="1">
      <alignment horizontal="right"/>
    </xf>
    <xf numFmtId="10" fontId="39" fillId="0" borderId="12" xfId="0" applyNumberFormat="1" applyFont="1" applyBorder="1" applyAlignment="1">
      <alignment horizontal="right"/>
    </xf>
    <xf numFmtId="10" fontId="40" fillId="0" borderId="18" xfId="0" applyNumberFormat="1" applyFont="1" applyBorder="1" applyAlignment="1">
      <alignment horizontal="right"/>
    </xf>
    <xf numFmtId="10" fontId="39" fillId="0" borderId="18" xfId="0" applyNumberFormat="1" applyFont="1" applyBorder="1" applyAlignment="1">
      <alignment horizontal="right"/>
    </xf>
    <xf numFmtId="10" fontId="40" fillId="0" borderId="23" xfId="0" applyNumberFormat="1" applyFont="1" applyBorder="1" applyAlignment="1">
      <alignment horizontal="right"/>
    </xf>
    <xf numFmtId="10" fontId="39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zoomScalePageLayoutView="0" workbookViewId="0" topLeftCell="A1">
      <pane xSplit="4" ySplit="6" topLeftCell="E5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71" sqref="N7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9" customWidth="1"/>
    <col min="25" max="25" width="9.140625" style="5" customWidth="1"/>
  </cols>
  <sheetData>
    <row r="1" spans="2:9" ht="31.5">
      <c r="B1" s="85" t="s">
        <v>100</v>
      </c>
      <c r="G1" s="49"/>
      <c r="H1" s="50" t="s">
        <v>89</v>
      </c>
      <c r="I1" s="49"/>
    </row>
    <row r="2" spans="1:25" s="73" customFormat="1" ht="10.5" customHeight="1">
      <c r="A2" s="28"/>
      <c r="B2" s="72"/>
      <c r="H2" s="74"/>
      <c r="X2" s="75"/>
      <c r="Y2" s="76"/>
    </row>
    <row r="3" spans="2:6" ht="20.25">
      <c r="B3" s="86" t="s">
        <v>90</v>
      </c>
      <c r="C3" s="70"/>
      <c r="D3" s="155"/>
      <c r="E3" s="79"/>
      <c r="F3" s="71"/>
    </row>
    <row r="4" spans="1:25" s="17" customFormat="1" ht="13.5" thickBot="1">
      <c r="A4" s="15"/>
      <c r="C4" s="114"/>
      <c r="D4" s="145" t="s">
        <v>16</v>
      </c>
      <c r="E4" s="130" t="s">
        <v>0</v>
      </c>
      <c r="F4" s="18" t="s">
        <v>1</v>
      </c>
      <c r="G4" s="18" t="s">
        <v>2</v>
      </c>
      <c r="H4" s="18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20" t="s">
        <v>8</v>
      </c>
      <c r="N4" s="20" t="s">
        <v>9</v>
      </c>
      <c r="O4" s="20" t="s">
        <v>10</v>
      </c>
      <c r="P4" s="20" t="s">
        <v>11</v>
      </c>
      <c r="Q4" s="17">
        <v>2015</v>
      </c>
      <c r="R4" s="17">
        <v>2016</v>
      </c>
      <c r="S4" s="17">
        <v>2017</v>
      </c>
      <c r="T4" s="17">
        <v>2018</v>
      </c>
      <c r="U4" s="17">
        <v>2019</v>
      </c>
      <c r="V4" s="17">
        <v>2020</v>
      </c>
      <c r="W4" s="15"/>
      <c r="X4" s="22"/>
      <c r="Y4" s="21"/>
    </row>
    <row r="5" spans="2:25" s="99" customFormat="1" ht="17.25" thickBot="1">
      <c r="B5" s="106" t="s">
        <v>86</v>
      </c>
      <c r="C5" s="107"/>
      <c r="D5" s="156"/>
      <c r="E5" s="153"/>
      <c r="F5" s="108">
        <f>4.5%/2</f>
        <v>0.0225</v>
      </c>
      <c r="G5" s="108">
        <f aca="true" t="shared" si="0" ref="G5:O6">+F5</f>
        <v>0.0225</v>
      </c>
      <c r="H5" s="109">
        <f t="shared" si="0"/>
        <v>0.0225</v>
      </c>
      <c r="I5" s="108">
        <f t="shared" si="0"/>
        <v>0.0225</v>
      </c>
      <c r="J5" s="108">
        <f t="shared" si="0"/>
        <v>0.0225</v>
      </c>
      <c r="K5" s="108">
        <f t="shared" si="0"/>
        <v>0.0225</v>
      </c>
      <c r="L5" s="109">
        <f t="shared" si="0"/>
        <v>0.0225</v>
      </c>
      <c r="M5" s="151">
        <f t="shared" si="0"/>
        <v>0.0225</v>
      </c>
      <c r="N5" s="108">
        <f t="shared" si="0"/>
        <v>0.0225</v>
      </c>
      <c r="O5" s="108">
        <f t="shared" si="0"/>
        <v>0.0225</v>
      </c>
      <c r="P5" s="109">
        <f>+O5</f>
        <v>0.0225</v>
      </c>
      <c r="Q5" s="149">
        <v>0.15</v>
      </c>
      <c r="R5" s="149">
        <v>0.15</v>
      </c>
      <c r="S5" s="109">
        <v>0.15</v>
      </c>
      <c r="T5" s="109">
        <v>0.15</v>
      </c>
      <c r="U5" s="109">
        <v>0.15</v>
      </c>
      <c r="V5" s="109">
        <v>0.15</v>
      </c>
      <c r="X5" s="104"/>
      <c r="Y5" s="105"/>
    </row>
    <row r="6" spans="2:25" s="99" customFormat="1" ht="17.25" thickBot="1">
      <c r="B6" s="100" t="s">
        <v>87</v>
      </c>
      <c r="C6" s="101"/>
      <c r="D6" s="101"/>
      <c r="E6" s="154"/>
      <c r="F6" s="102">
        <v>-0.044</v>
      </c>
      <c r="G6" s="102">
        <f t="shared" si="0"/>
        <v>-0.044</v>
      </c>
      <c r="H6" s="103">
        <f t="shared" si="0"/>
        <v>-0.044</v>
      </c>
      <c r="I6" s="152">
        <f t="shared" si="0"/>
        <v>-0.044</v>
      </c>
      <c r="J6" s="102">
        <f t="shared" si="0"/>
        <v>-0.044</v>
      </c>
      <c r="K6" s="102">
        <f t="shared" si="0"/>
        <v>-0.044</v>
      </c>
      <c r="L6" s="103">
        <f t="shared" si="0"/>
        <v>-0.044</v>
      </c>
      <c r="M6" s="152">
        <f t="shared" si="0"/>
        <v>-0.044</v>
      </c>
      <c r="N6" s="102">
        <f t="shared" si="0"/>
        <v>-0.044</v>
      </c>
      <c r="O6" s="102">
        <f t="shared" si="0"/>
        <v>-0.044</v>
      </c>
      <c r="P6" s="103">
        <f>+O6</f>
        <v>-0.044</v>
      </c>
      <c r="Q6" s="150">
        <v>-0.15</v>
      </c>
      <c r="R6" s="150">
        <v>-0.15</v>
      </c>
      <c r="S6" s="103">
        <v>0</v>
      </c>
      <c r="T6" s="103">
        <v>0</v>
      </c>
      <c r="U6" s="103">
        <v>0</v>
      </c>
      <c r="V6" s="103">
        <v>0</v>
      </c>
      <c r="X6" s="104"/>
      <c r="Y6" s="105"/>
    </row>
    <row r="7" spans="2:6" ht="20.25">
      <c r="B7" s="69"/>
      <c r="C7" s="70"/>
      <c r="D7" s="70"/>
      <c r="E7" s="131"/>
      <c r="F7" s="71"/>
    </row>
    <row r="8" spans="1:25" s="14" customFormat="1" ht="15.75">
      <c r="A8" s="15"/>
      <c r="D8" s="125"/>
      <c r="E8" s="147" t="s">
        <v>50</v>
      </c>
      <c r="F8" s="146"/>
      <c r="X8" s="22"/>
      <c r="Y8" s="21"/>
    </row>
    <row r="9" spans="1:25" s="17" customFormat="1" ht="12.75">
      <c r="A9" s="15"/>
      <c r="C9" s="114" t="s">
        <v>32</v>
      </c>
      <c r="D9" s="145" t="s">
        <v>16</v>
      </c>
      <c r="E9" s="132" t="s">
        <v>0</v>
      </c>
      <c r="F9" s="18" t="s">
        <v>1</v>
      </c>
      <c r="G9" s="18" t="s">
        <v>2</v>
      </c>
      <c r="H9" s="18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20" t="s">
        <v>8</v>
      </c>
      <c r="N9" s="20" t="s">
        <v>9</v>
      </c>
      <c r="O9" s="20" t="s">
        <v>10</v>
      </c>
      <c r="P9" s="20" t="s">
        <v>11</v>
      </c>
      <c r="Q9" s="17">
        <v>2015</v>
      </c>
      <c r="R9" s="17">
        <v>2016</v>
      </c>
      <c r="S9" s="17">
        <v>2017</v>
      </c>
      <c r="T9" s="17">
        <v>2018</v>
      </c>
      <c r="U9" s="17">
        <v>2019</v>
      </c>
      <c r="V9" s="17">
        <v>2020</v>
      </c>
      <c r="W9" s="15" t="s">
        <v>40</v>
      </c>
      <c r="X9" s="22"/>
      <c r="Y9" s="21"/>
    </row>
    <row r="10" spans="1:25" s="2" customFormat="1" ht="12.75">
      <c r="A10" s="28"/>
      <c r="B10" s="40" t="s">
        <v>51</v>
      </c>
      <c r="C10" s="115"/>
      <c r="D10" s="119"/>
      <c r="E10" s="133"/>
      <c r="X10" s="8"/>
      <c r="Y10" s="10"/>
    </row>
    <row r="11" spans="1:25" s="2" customFormat="1" ht="12.75">
      <c r="A11" s="28"/>
      <c r="B11" s="78"/>
      <c r="C11" s="115"/>
      <c r="D11" s="119"/>
      <c r="E11" s="133"/>
      <c r="X11" s="8"/>
      <c r="Y11" s="10"/>
    </row>
    <row r="12" spans="1:25" s="2" customFormat="1" ht="12.75">
      <c r="A12" s="28"/>
      <c r="B12" s="53" t="s">
        <v>62</v>
      </c>
      <c r="C12" s="115"/>
      <c r="D12" s="127">
        <v>90</v>
      </c>
      <c r="E12" s="134">
        <v>85.9</v>
      </c>
      <c r="F12" s="11">
        <f aca="true" t="shared" si="1" ref="F12:P12">+E12*(1+F13)</f>
        <v>87.83275</v>
      </c>
      <c r="G12" s="11">
        <f t="shared" si="1"/>
        <v>89.808986875</v>
      </c>
      <c r="H12" s="11">
        <f t="shared" si="1"/>
        <v>91.8296890796875</v>
      </c>
      <c r="I12" s="11">
        <f t="shared" si="1"/>
        <v>93.89585708398046</v>
      </c>
      <c r="J12" s="11">
        <f t="shared" si="1"/>
        <v>96.00851386837002</v>
      </c>
      <c r="K12" s="11">
        <f t="shared" si="1"/>
        <v>98.16870543040834</v>
      </c>
      <c r="L12" s="11">
        <f t="shared" si="1"/>
        <v>100.37750130259252</v>
      </c>
      <c r="M12" s="11">
        <f t="shared" si="1"/>
        <v>102.63599508190084</v>
      </c>
      <c r="N12" s="11">
        <f t="shared" si="1"/>
        <v>104.94530497124362</v>
      </c>
      <c r="O12" s="11">
        <f t="shared" si="1"/>
        <v>107.30657433309659</v>
      </c>
      <c r="P12" s="11">
        <f t="shared" si="1"/>
        <v>109.72097225559126</v>
      </c>
      <c r="Q12" s="11">
        <f>+P12*4</f>
        <v>438.88388902236505</v>
      </c>
      <c r="R12" s="11">
        <f>+Q12*(1+R13)</f>
        <v>504.7164723757198</v>
      </c>
      <c r="S12" s="11">
        <f>+R12*(1+S13)</f>
        <v>580.4239432320777</v>
      </c>
      <c r="T12" s="11">
        <f>+S12*(1+T13)</f>
        <v>667.4875347168893</v>
      </c>
      <c r="U12" s="11">
        <f>+T12*(1+U13)</f>
        <v>767.6106649244226</v>
      </c>
      <c r="V12" s="11">
        <f>+U12*(1+V13)</f>
        <v>882.752264663086</v>
      </c>
      <c r="X12" s="8"/>
      <c r="Y12" s="10"/>
    </row>
    <row r="13" spans="1:25" s="2" customFormat="1" ht="12.75">
      <c r="A13" s="28"/>
      <c r="B13" s="54" t="s">
        <v>65</v>
      </c>
      <c r="C13" s="116"/>
      <c r="D13" s="116"/>
      <c r="E13" s="135"/>
      <c r="F13" s="55">
        <f aca="true" t="shared" si="2" ref="F13:R13">+F5</f>
        <v>0.0225</v>
      </c>
      <c r="G13" s="55">
        <f t="shared" si="2"/>
        <v>0.0225</v>
      </c>
      <c r="H13" s="55">
        <f t="shared" si="2"/>
        <v>0.0225</v>
      </c>
      <c r="I13" s="55">
        <f t="shared" si="2"/>
        <v>0.0225</v>
      </c>
      <c r="J13" s="55">
        <f t="shared" si="2"/>
        <v>0.0225</v>
      </c>
      <c r="K13" s="55">
        <f t="shared" si="2"/>
        <v>0.0225</v>
      </c>
      <c r="L13" s="55">
        <f t="shared" si="2"/>
        <v>0.0225</v>
      </c>
      <c r="M13" s="55">
        <f t="shared" si="2"/>
        <v>0.0225</v>
      </c>
      <c r="N13" s="55">
        <f t="shared" si="2"/>
        <v>0.0225</v>
      </c>
      <c r="O13" s="55">
        <f t="shared" si="2"/>
        <v>0.0225</v>
      </c>
      <c r="P13" s="55">
        <f t="shared" si="2"/>
        <v>0.0225</v>
      </c>
      <c r="Q13" s="55">
        <f t="shared" si="2"/>
        <v>0.15</v>
      </c>
      <c r="R13" s="55">
        <f t="shared" si="2"/>
        <v>0.15</v>
      </c>
      <c r="S13" s="55">
        <f>+S5</f>
        <v>0.15</v>
      </c>
      <c r="T13" s="55">
        <f>+T5</f>
        <v>0.15</v>
      </c>
      <c r="U13" s="55">
        <f>+U5</f>
        <v>0.15</v>
      </c>
      <c r="V13" s="55">
        <f>+V5</f>
        <v>0.15</v>
      </c>
      <c r="X13" s="8"/>
      <c r="Y13" s="10"/>
    </row>
    <row r="14" spans="1:22" s="84" customFormat="1" ht="12.75">
      <c r="A14" s="82"/>
      <c r="B14" s="83" t="s">
        <v>99</v>
      </c>
      <c r="C14" s="81"/>
      <c r="D14" s="81">
        <v>0.394</v>
      </c>
      <c r="E14" s="136">
        <v>0.4</v>
      </c>
      <c r="F14" s="84">
        <f aca="true" t="shared" si="3" ref="F14:R14">+E14</f>
        <v>0.4</v>
      </c>
      <c r="G14" s="84">
        <f t="shared" si="3"/>
        <v>0.4</v>
      </c>
      <c r="H14" s="84">
        <f t="shared" si="3"/>
        <v>0.4</v>
      </c>
      <c r="I14" s="84">
        <f t="shared" si="3"/>
        <v>0.4</v>
      </c>
      <c r="J14" s="84">
        <f t="shared" si="3"/>
        <v>0.4</v>
      </c>
      <c r="K14" s="84">
        <f t="shared" si="3"/>
        <v>0.4</v>
      </c>
      <c r="L14" s="84">
        <f t="shared" si="3"/>
        <v>0.4</v>
      </c>
      <c r="M14" s="84">
        <f t="shared" si="3"/>
        <v>0.4</v>
      </c>
      <c r="N14" s="84">
        <f t="shared" si="3"/>
        <v>0.4</v>
      </c>
      <c r="O14" s="84">
        <f t="shared" si="3"/>
        <v>0.4</v>
      </c>
      <c r="P14" s="84">
        <f t="shared" si="3"/>
        <v>0.4</v>
      </c>
      <c r="Q14" s="84">
        <f t="shared" si="3"/>
        <v>0.4</v>
      </c>
      <c r="R14" s="84">
        <f t="shared" si="3"/>
        <v>0.4</v>
      </c>
      <c r="S14" s="84">
        <f>+R14</f>
        <v>0.4</v>
      </c>
      <c r="T14" s="84">
        <f>+S14</f>
        <v>0.4</v>
      </c>
      <c r="U14" s="84">
        <f>+T14</f>
        <v>0.4</v>
      </c>
      <c r="V14" s="84">
        <f>+U14</f>
        <v>0.4</v>
      </c>
    </row>
    <row r="15" spans="1:25" s="2" customFormat="1" ht="12.75">
      <c r="A15" s="28"/>
      <c r="B15" s="24" t="s">
        <v>64</v>
      </c>
      <c r="C15" s="115"/>
      <c r="D15" s="58">
        <f>+D12*D14</f>
        <v>35.46</v>
      </c>
      <c r="E15" s="158">
        <f>+E12*E14</f>
        <v>34.36000000000001</v>
      </c>
      <c r="F15" s="58">
        <f aca="true" t="shared" si="4" ref="F15:R15">+F12*F14</f>
        <v>35.133100000000006</v>
      </c>
      <c r="G15" s="58">
        <f t="shared" si="4"/>
        <v>35.92359475</v>
      </c>
      <c r="H15" s="58">
        <f t="shared" si="4"/>
        <v>36.731875631875</v>
      </c>
      <c r="I15" s="58">
        <f t="shared" si="4"/>
        <v>37.558342833592185</v>
      </c>
      <c r="J15" s="58">
        <f t="shared" si="4"/>
        <v>38.40340554734801</v>
      </c>
      <c r="K15" s="58">
        <f t="shared" si="4"/>
        <v>39.26748217216334</v>
      </c>
      <c r="L15" s="58">
        <f t="shared" si="4"/>
        <v>40.15100052103701</v>
      </c>
      <c r="M15" s="58">
        <f t="shared" si="4"/>
        <v>41.05439803276034</v>
      </c>
      <c r="N15" s="58">
        <f t="shared" si="4"/>
        <v>41.97812198849745</v>
      </c>
      <c r="O15" s="58">
        <f t="shared" si="4"/>
        <v>42.92262973323864</v>
      </c>
      <c r="P15" s="58">
        <f t="shared" si="4"/>
        <v>43.88838890223651</v>
      </c>
      <c r="Q15" s="58">
        <f t="shared" si="4"/>
        <v>175.55355560894603</v>
      </c>
      <c r="R15" s="58">
        <f t="shared" si="4"/>
        <v>201.88658895028792</v>
      </c>
      <c r="S15" s="58">
        <f>+S12*S14</f>
        <v>232.1695772928311</v>
      </c>
      <c r="T15" s="58">
        <f>+T12*T14</f>
        <v>266.9950138867557</v>
      </c>
      <c r="U15" s="58">
        <f>+U12*U14</f>
        <v>307.04426596976907</v>
      </c>
      <c r="V15" s="58">
        <f>+V12*V14</f>
        <v>353.1009058652344</v>
      </c>
      <c r="X15" s="8"/>
      <c r="Y15" s="10"/>
    </row>
    <row r="16" spans="1:25" s="2" customFormat="1" ht="12.75">
      <c r="A16" s="28"/>
      <c r="B16" s="53"/>
      <c r="C16" s="115"/>
      <c r="D16" s="127"/>
      <c r="E16" s="13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X16" s="8"/>
      <c r="Y16" s="10"/>
    </row>
    <row r="17" spans="1:25" s="2" customFormat="1" ht="12.75">
      <c r="A17" s="28"/>
      <c r="B17" s="53" t="s">
        <v>63</v>
      </c>
      <c r="C17" s="115"/>
      <c r="D17" s="127">
        <v>223.3</v>
      </c>
      <c r="E17" s="134">
        <f>+E22-E12</f>
        <v>203.20000000000002</v>
      </c>
      <c r="F17" s="11">
        <f aca="true" t="shared" si="5" ref="F17:R17">+E17*(1+F18)</f>
        <v>194.25920000000002</v>
      </c>
      <c r="G17" s="11">
        <f t="shared" si="5"/>
        <v>185.7117952</v>
      </c>
      <c r="H17" s="11">
        <f t="shared" si="5"/>
        <v>177.5404762112</v>
      </c>
      <c r="I17" s="11">
        <f t="shared" si="5"/>
        <v>169.7286952579072</v>
      </c>
      <c r="J17" s="11">
        <f t="shared" si="5"/>
        <v>162.26063266655927</v>
      </c>
      <c r="K17" s="11">
        <f t="shared" si="5"/>
        <v>155.12116482923065</v>
      </c>
      <c r="L17" s="11">
        <f t="shared" si="5"/>
        <v>148.29583357674449</v>
      </c>
      <c r="M17" s="11">
        <f t="shared" si="5"/>
        <v>141.77081689936773</v>
      </c>
      <c r="N17" s="11">
        <f t="shared" si="5"/>
        <v>135.53290095579555</v>
      </c>
      <c r="O17" s="11">
        <f t="shared" si="5"/>
        <v>129.56945331374055</v>
      </c>
      <c r="P17" s="11">
        <f t="shared" si="5"/>
        <v>123.86839736793597</v>
      </c>
      <c r="Q17" s="11">
        <f>+P17*4</f>
        <v>495.4735894717439</v>
      </c>
      <c r="R17" s="11">
        <f t="shared" si="5"/>
        <v>421.1525510509823</v>
      </c>
      <c r="S17" s="11">
        <f>+R17*(1+S18)</f>
        <v>421.1525510509823</v>
      </c>
      <c r="T17" s="11">
        <f>+S17*(1+T18)</f>
        <v>421.1525510509823</v>
      </c>
      <c r="U17" s="11">
        <f>+T17*(1+U18)</f>
        <v>421.1525510509823</v>
      </c>
      <c r="V17" s="11">
        <f>+U17*(1+V18)</f>
        <v>421.1525510509823</v>
      </c>
      <c r="X17" s="8"/>
      <c r="Y17" s="10"/>
    </row>
    <row r="18" spans="1:25" s="2" customFormat="1" ht="12.75">
      <c r="A18" s="28"/>
      <c r="B18" s="54" t="s">
        <v>67</v>
      </c>
      <c r="C18" s="115"/>
      <c r="D18" s="127"/>
      <c r="E18" s="137"/>
      <c r="F18" s="56">
        <f aca="true" t="shared" si="6" ref="F18:R18">+F6</f>
        <v>-0.044</v>
      </c>
      <c r="G18" s="56">
        <f t="shared" si="6"/>
        <v>-0.044</v>
      </c>
      <c r="H18" s="56">
        <f t="shared" si="6"/>
        <v>-0.044</v>
      </c>
      <c r="I18" s="56">
        <f t="shared" si="6"/>
        <v>-0.044</v>
      </c>
      <c r="J18" s="56">
        <f t="shared" si="6"/>
        <v>-0.044</v>
      </c>
      <c r="K18" s="56">
        <f t="shared" si="6"/>
        <v>-0.044</v>
      </c>
      <c r="L18" s="56">
        <f t="shared" si="6"/>
        <v>-0.044</v>
      </c>
      <c r="M18" s="56">
        <f t="shared" si="6"/>
        <v>-0.044</v>
      </c>
      <c r="N18" s="56">
        <f t="shared" si="6"/>
        <v>-0.044</v>
      </c>
      <c r="O18" s="56">
        <f t="shared" si="6"/>
        <v>-0.044</v>
      </c>
      <c r="P18" s="56">
        <f t="shared" si="6"/>
        <v>-0.044</v>
      </c>
      <c r="Q18" s="56">
        <f t="shared" si="6"/>
        <v>-0.15</v>
      </c>
      <c r="R18" s="56">
        <f t="shared" si="6"/>
        <v>-0.15</v>
      </c>
      <c r="S18" s="56">
        <f>+S6</f>
        <v>0</v>
      </c>
      <c r="T18" s="56">
        <f>+T6</f>
        <v>0</v>
      </c>
      <c r="U18" s="56">
        <f>+U6</f>
        <v>0</v>
      </c>
      <c r="V18" s="56">
        <f>+V6</f>
        <v>0</v>
      </c>
      <c r="X18" s="8"/>
      <c r="Y18" s="10"/>
    </row>
    <row r="19" spans="1:23" s="84" customFormat="1" ht="15">
      <c r="A19" s="82"/>
      <c r="B19" s="83" t="s">
        <v>99</v>
      </c>
      <c r="C19" s="117"/>
      <c r="D19" s="81">
        <v>0.5</v>
      </c>
      <c r="E19" s="136">
        <f>55%</f>
        <v>0.55</v>
      </c>
      <c r="F19" s="81">
        <v>0.55</v>
      </c>
      <c r="G19" s="81">
        <v>0.545</v>
      </c>
      <c r="H19" s="81">
        <v>0.54</v>
      </c>
      <c r="I19" s="81">
        <v>0.54</v>
      </c>
      <c r="J19" s="81">
        <v>0.535</v>
      </c>
      <c r="K19" s="81">
        <v>0.53</v>
      </c>
      <c r="L19" s="81">
        <v>0.53</v>
      </c>
      <c r="M19" s="81">
        <v>0.53</v>
      </c>
      <c r="N19" s="81">
        <v>0.53</v>
      </c>
      <c r="O19" s="81">
        <v>0.53</v>
      </c>
      <c r="P19" s="81">
        <v>0.53</v>
      </c>
      <c r="Q19" s="81">
        <v>0.53</v>
      </c>
      <c r="R19" s="81">
        <v>0.53</v>
      </c>
      <c r="S19" s="81">
        <v>0.53</v>
      </c>
      <c r="T19" s="81">
        <v>0.53</v>
      </c>
      <c r="U19" s="81">
        <v>0.53</v>
      </c>
      <c r="V19" s="81">
        <v>0.53</v>
      </c>
      <c r="W19" s="98" t="s">
        <v>91</v>
      </c>
    </row>
    <row r="20" spans="1:25" s="2" customFormat="1" ht="12.75">
      <c r="A20" s="28"/>
      <c r="B20" s="24" t="s">
        <v>66</v>
      </c>
      <c r="C20" s="115"/>
      <c r="D20" s="58">
        <f>+D17*D19</f>
        <v>111.65</v>
      </c>
      <c r="E20" s="158">
        <f>+E17*E19</f>
        <v>111.76000000000002</v>
      </c>
      <c r="F20" s="58">
        <f aca="true" t="shared" si="7" ref="F20:R20">+F17*F19</f>
        <v>106.84256000000002</v>
      </c>
      <c r="G20" s="58">
        <f t="shared" si="7"/>
        <v>101.21292838400001</v>
      </c>
      <c r="H20" s="58">
        <f t="shared" si="7"/>
        <v>95.871857154048</v>
      </c>
      <c r="I20" s="58">
        <f t="shared" si="7"/>
        <v>91.65349543926989</v>
      </c>
      <c r="J20" s="58">
        <f t="shared" si="7"/>
        <v>86.80943847660922</v>
      </c>
      <c r="K20" s="58">
        <f t="shared" si="7"/>
        <v>82.21421735949225</v>
      </c>
      <c r="L20" s="58">
        <f t="shared" si="7"/>
        <v>78.59679179567458</v>
      </c>
      <c r="M20" s="58">
        <f t="shared" si="7"/>
        <v>75.1385329566649</v>
      </c>
      <c r="N20" s="58">
        <f t="shared" si="7"/>
        <v>71.83243750657165</v>
      </c>
      <c r="O20" s="58">
        <f t="shared" si="7"/>
        <v>68.6718102562825</v>
      </c>
      <c r="P20" s="58">
        <f t="shared" si="7"/>
        <v>65.65025060500606</v>
      </c>
      <c r="Q20" s="58">
        <f t="shared" si="7"/>
        <v>262.60100242002426</v>
      </c>
      <c r="R20" s="58">
        <f t="shared" si="7"/>
        <v>223.21085205702065</v>
      </c>
      <c r="S20" s="58">
        <f>+S17*S19</f>
        <v>223.21085205702065</v>
      </c>
      <c r="T20" s="58">
        <f>+T17*T19</f>
        <v>223.21085205702065</v>
      </c>
      <c r="U20" s="58">
        <f>+U17*U19</f>
        <v>223.21085205702065</v>
      </c>
      <c r="V20" s="58">
        <f>+V17*V19</f>
        <v>223.21085205702065</v>
      </c>
      <c r="X20" s="8"/>
      <c r="Y20" s="10"/>
    </row>
    <row r="21" spans="1:25" s="2" customFormat="1" ht="12.75">
      <c r="A21" s="28"/>
      <c r="B21" s="54"/>
      <c r="C21" s="115"/>
      <c r="D21" s="35"/>
      <c r="E21" s="13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X21" s="8"/>
      <c r="Y21" s="10"/>
    </row>
    <row r="22" spans="1:25" s="2" customFormat="1" ht="12.75">
      <c r="A22" s="28"/>
      <c r="B22" s="54" t="s">
        <v>68</v>
      </c>
      <c r="C22" s="115"/>
      <c r="D22" s="127">
        <f>+D12+D17</f>
        <v>313.3</v>
      </c>
      <c r="E22" s="134">
        <v>289.1</v>
      </c>
      <c r="F22" s="11">
        <f aca="true" t="shared" si="8" ref="F22:R22">+F12+F17</f>
        <v>282.09195</v>
      </c>
      <c r="G22" s="11">
        <f t="shared" si="8"/>
        <v>275.520782075</v>
      </c>
      <c r="H22" s="11">
        <f t="shared" si="8"/>
        <v>269.3701652908875</v>
      </c>
      <c r="I22" s="11">
        <f t="shared" si="8"/>
        <v>263.62455234188764</v>
      </c>
      <c r="J22" s="11">
        <f t="shared" si="8"/>
        <v>258.2691465349293</v>
      </c>
      <c r="K22" s="11">
        <f t="shared" si="8"/>
        <v>253.28987025963897</v>
      </c>
      <c r="L22" s="11">
        <f t="shared" si="8"/>
        <v>248.673334879337</v>
      </c>
      <c r="M22" s="11">
        <f t="shared" si="8"/>
        <v>244.40681198126856</v>
      </c>
      <c r="N22" s="11">
        <f t="shared" si="8"/>
        <v>240.47820592703917</v>
      </c>
      <c r="O22" s="11">
        <f t="shared" si="8"/>
        <v>236.87602764683714</v>
      </c>
      <c r="P22" s="11">
        <f t="shared" si="8"/>
        <v>233.58936962352723</v>
      </c>
      <c r="Q22" s="11">
        <f t="shared" si="8"/>
        <v>934.3574784941089</v>
      </c>
      <c r="R22" s="11">
        <f t="shared" si="8"/>
        <v>925.8690234267021</v>
      </c>
      <c r="S22" s="11">
        <f>+S12+S17</f>
        <v>1001.57649428306</v>
      </c>
      <c r="T22" s="11">
        <f>+T12+T17</f>
        <v>1088.6400857678716</v>
      </c>
      <c r="U22" s="11">
        <f>+U12+U17</f>
        <v>1188.7632159754048</v>
      </c>
      <c r="V22" s="11">
        <f>+V12+V17</f>
        <v>1303.9048157140683</v>
      </c>
      <c r="X22" s="8"/>
      <c r="Y22" s="10"/>
    </row>
    <row r="23" spans="1:25" s="24" customFormat="1" ht="13.5" thickBot="1">
      <c r="A23" s="29" t="s">
        <v>13</v>
      </c>
      <c r="B23" s="29" t="s">
        <v>92</v>
      </c>
      <c r="C23" s="118"/>
      <c r="D23" s="59">
        <f>+D15+D20</f>
        <v>147.11</v>
      </c>
      <c r="E23" s="57">
        <f>+E15+E20</f>
        <v>146.12000000000003</v>
      </c>
      <c r="F23" s="59">
        <f>+F15+F20</f>
        <v>141.97566000000003</v>
      </c>
      <c r="G23" s="59">
        <f aca="true" t="shared" si="9" ref="G23:R23">+G15+G20</f>
        <v>137.13652313400002</v>
      </c>
      <c r="H23" s="59">
        <f t="shared" si="9"/>
        <v>132.603732785923</v>
      </c>
      <c r="I23" s="59">
        <f t="shared" si="9"/>
        <v>129.21183827286208</v>
      </c>
      <c r="J23" s="59">
        <f t="shared" si="9"/>
        <v>125.21284402395722</v>
      </c>
      <c r="K23" s="59">
        <f t="shared" si="9"/>
        <v>121.4816995316556</v>
      </c>
      <c r="L23" s="59">
        <f t="shared" si="9"/>
        <v>118.74779231671158</v>
      </c>
      <c r="M23" s="59">
        <f t="shared" si="9"/>
        <v>116.19293098942524</v>
      </c>
      <c r="N23" s="59">
        <f t="shared" si="9"/>
        <v>113.8105594950691</v>
      </c>
      <c r="O23" s="59">
        <f t="shared" si="9"/>
        <v>111.59443998952113</v>
      </c>
      <c r="P23" s="59">
        <f t="shared" si="9"/>
        <v>109.53863950724258</v>
      </c>
      <c r="Q23" s="59">
        <f t="shared" si="9"/>
        <v>438.1545580289703</v>
      </c>
      <c r="R23" s="59">
        <f t="shared" si="9"/>
        <v>425.0974410073086</v>
      </c>
      <c r="S23" s="59">
        <f>+S15+S20</f>
        <v>455.38042934985174</v>
      </c>
      <c r="T23" s="59">
        <f>+T15+T20</f>
        <v>490.20586594377636</v>
      </c>
      <c r="U23" s="59">
        <f>+U15+U20</f>
        <v>530.2551180267897</v>
      </c>
      <c r="V23" s="59">
        <f>+V15+V20</f>
        <v>576.3117579222551</v>
      </c>
      <c r="X23" s="26"/>
      <c r="Y23" s="27"/>
    </row>
    <row r="24" spans="1:25" s="24" customFormat="1" ht="13.5" thickTop="1">
      <c r="A24" s="29"/>
      <c r="B24" s="24" t="s">
        <v>69</v>
      </c>
      <c r="C24" s="118"/>
      <c r="D24" s="60">
        <f>+D23/D22</f>
        <v>0.4695499521225663</v>
      </c>
      <c r="E24" s="139">
        <f>+E23/E22</f>
        <v>0.5054306468350053</v>
      </c>
      <c r="F24" s="60">
        <f>+F23/F22</f>
        <v>0.5032956807168728</v>
      </c>
      <c r="G24" s="60">
        <f aca="true" t="shared" si="10" ref="G24:R24">+G23/G22</f>
        <v>0.4977356775093279</v>
      </c>
      <c r="H24" s="60">
        <f t="shared" si="10"/>
        <v>0.49227327251600733</v>
      </c>
      <c r="I24" s="60">
        <f t="shared" si="10"/>
        <v>0.4901358281124389</v>
      </c>
      <c r="J24" s="60">
        <f t="shared" si="10"/>
        <v>0.48481533974877233</v>
      </c>
      <c r="K24" s="60">
        <f t="shared" si="10"/>
        <v>0.4796153095547357</v>
      </c>
      <c r="L24" s="60">
        <f t="shared" si="10"/>
        <v>0.4775252335532123</v>
      </c>
      <c r="M24" s="60">
        <f t="shared" si="10"/>
        <v>0.47540790719994463</v>
      </c>
      <c r="N24" s="60">
        <f t="shared" si="10"/>
        <v>0.47326766704837736</v>
      </c>
      <c r="O24" s="60">
        <f t="shared" si="10"/>
        <v>0.4711090484677468</v>
      </c>
      <c r="P24" s="60">
        <f t="shared" si="10"/>
        <v>0.4689367486362264</v>
      </c>
      <c r="Q24" s="60">
        <f t="shared" si="10"/>
        <v>0.4689367486362264</v>
      </c>
      <c r="R24" s="60">
        <f t="shared" si="10"/>
        <v>0.45913345219607304</v>
      </c>
      <c r="S24" s="60">
        <f>+S23/S22</f>
        <v>0.45466365469750597</v>
      </c>
      <c r="T24" s="60">
        <f>+T23/T22</f>
        <v>0.450291948966779</v>
      </c>
      <c r="U24" s="60">
        <f>+U23/U22</f>
        <v>0.4460561286729455</v>
      </c>
      <c r="V24" s="60">
        <f>+V23/V22</f>
        <v>0.44198913216425595</v>
      </c>
      <c r="X24" s="26"/>
      <c r="Y24" s="27"/>
    </row>
    <row r="25" spans="1:25" s="2" customFormat="1" ht="12.75">
      <c r="A25" s="28"/>
      <c r="B25" s="78"/>
      <c r="C25" s="115"/>
      <c r="D25" s="119"/>
      <c r="E25" s="133"/>
      <c r="X25" s="8"/>
      <c r="Y25" s="10"/>
    </row>
    <row r="26" spans="1:25" s="24" customFormat="1" ht="12.75">
      <c r="A26" s="29"/>
      <c r="B26" s="23"/>
      <c r="C26" s="118"/>
      <c r="D26" s="35"/>
      <c r="E26" s="1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X26" s="26"/>
      <c r="Y26" s="27"/>
    </row>
    <row r="27" spans="1:25" s="2" customFormat="1" ht="12.75">
      <c r="A27" s="28"/>
      <c r="B27" s="40" t="s">
        <v>41</v>
      </c>
      <c r="C27" s="119"/>
      <c r="D27" s="127"/>
      <c r="E27" s="1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X27" s="8"/>
      <c r="Y27" s="10"/>
    </row>
    <row r="28" spans="1:25" s="2" customFormat="1" ht="12.75">
      <c r="A28" s="28"/>
      <c r="B28" s="23" t="s">
        <v>14</v>
      </c>
      <c r="C28" s="119"/>
      <c r="D28" s="127"/>
      <c r="E28" s="1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X28" s="8"/>
      <c r="Y28" s="10"/>
    </row>
    <row r="29" spans="1:25" s="2" customFormat="1" ht="12.75">
      <c r="A29" s="28"/>
      <c r="B29" s="1" t="s">
        <v>72</v>
      </c>
      <c r="C29" s="119"/>
      <c r="D29" s="127">
        <f>266*0.05/4</f>
        <v>3.325</v>
      </c>
      <c r="E29" s="134">
        <v>2.07</v>
      </c>
      <c r="F29" s="11">
        <v>1.7825</v>
      </c>
      <c r="G29" s="11">
        <v>1.495</v>
      </c>
      <c r="H29" s="11">
        <v>1.2075</v>
      </c>
      <c r="I29" s="11">
        <v>0.92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8"/>
      <c r="Y29" s="10"/>
    </row>
    <row r="30" spans="1:25" s="2" customFormat="1" ht="12.75">
      <c r="A30" s="28"/>
      <c r="B30" s="1" t="s">
        <v>73</v>
      </c>
      <c r="C30" s="119"/>
      <c r="D30" s="127"/>
      <c r="E30" s="134">
        <f>+Y68/4</f>
        <v>2.629</v>
      </c>
      <c r="F30" s="11">
        <f>+E30</f>
        <v>2.629</v>
      </c>
      <c r="G30" s="11">
        <f>+F30</f>
        <v>2.629</v>
      </c>
      <c r="H30" s="11">
        <f>+G30</f>
        <v>2.629</v>
      </c>
      <c r="I30" s="11">
        <f>+H30*0.5</f>
        <v>1.3145</v>
      </c>
      <c r="J30" s="11"/>
      <c r="K30" s="11"/>
      <c r="L30" s="11"/>
      <c r="M30" s="25">
        <v>1.65</v>
      </c>
      <c r="N30" s="25">
        <v>1.65</v>
      </c>
      <c r="O30" s="25">
        <v>1.65</v>
      </c>
      <c r="P30" s="25">
        <v>1.65</v>
      </c>
      <c r="Q30" s="11"/>
      <c r="R30" s="11"/>
      <c r="S30" s="11"/>
      <c r="T30" s="11"/>
      <c r="U30" s="11"/>
      <c r="V30" s="11"/>
      <c r="X30" s="8"/>
      <c r="Y30" s="10"/>
    </row>
    <row r="31" spans="1:25" s="2" customFormat="1" ht="12.75">
      <c r="A31" s="28"/>
      <c r="B31" s="1" t="s">
        <v>21</v>
      </c>
      <c r="C31" s="157" t="s">
        <v>56</v>
      </c>
      <c r="D31" s="127"/>
      <c r="E31" s="13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8"/>
      <c r="Y31" s="10"/>
    </row>
    <row r="32" spans="1:25" s="2" customFormat="1" ht="12.75">
      <c r="A32" s="28"/>
      <c r="B32" s="1" t="s">
        <v>30</v>
      </c>
      <c r="C32" s="119"/>
      <c r="D32" s="127">
        <f aca="true" t="shared" si="11" ref="D32:K32">+$Y71/4</f>
        <v>2.875</v>
      </c>
      <c r="E32" s="134">
        <f t="shared" si="11"/>
        <v>2.875</v>
      </c>
      <c r="F32" s="11">
        <f t="shared" si="11"/>
        <v>2.875</v>
      </c>
      <c r="G32" s="11">
        <f t="shared" si="11"/>
        <v>2.875</v>
      </c>
      <c r="H32" s="11">
        <f t="shared" si="11"/>
        <v>2.875</v>
      </c>
      <c r="I32" s="11">
        <f t="shared" si="11"/>
        <v>2.875</v>
      </c>
      <c r="J32" s="11">
        <f t="shared" si="11"/>
        <v>2.875</v>
      </c>
      <c r="K32" s="11">
        <f t="shared" si="11"/>
        <v>2.875</v>
      </c>
      <c r="L32" s="97">
        <v>0.9</v>
      </c>
      <c r="M32" s="97">
        <f>+$Y71/4*0</f>
        <v>0</v>
      </c>
      <c r="N32" s="97">
        <f>+M32</f>
        <v>0</v>
      </c>
      <c r="O32" s="97">
        <f>+N32</f>
        <v>0</v>
      </c>
      <c r="P32" s="97">
        <f>+O32</f>
        <v>0</v>
      </c>
      <c r="Q32" s="97">
        <f>+P32*4</f>
        <v>0</v>
      </c>
      <c r="R32" s="97">
        <f>+Q32</f>
        <v>0</v>
      </c>
      <c r="S32" s="97">
        <f>+R32</f>
        <v>0</v>
      </c>
      <c r="T32" s="97">
        <f>+S32</f>
        <v>0</v>
      </c>
      <c r="U32" s="97">
        <f>+T32</f>
        <v>0</v>
      </c>
      <c r="V32" s="97">
        <f>+U32</f>
        <v>0</v>
      </c>
      <c r="X32" s="8"/>
      <c r="Y32" s="10"/>
    </row>
    <row r="33" spans="1:25" s="2" customFormat="1" ht="12.75">
      <c r="A33" s="28"/>
      <c r="B33" s="1" t="s">
        <v>12</v>
      </c>
      <c r="C33" s="119"/>
      <c r="D33" s="127"/>
      <c r="E33" s="13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X33" s="8"/>
      <c r="Y33" s="10"/>
    </row>
    <row r="34" spans="1:25" s="2" customFormat="1" ht="12.75">
      <c r="A34" s="28"/>
      <c r="B34" s="7" t="s">
        <v>23</v>
      </c>
      <c r="C34" s="119"/>
      <c r="D34" s="127">
        <f aca="true" t="shared" si="12" ref="D34:P41">+$Y73/4</f>
        <v>1.2675</v>
      </c>
      <c r="E34" s="134">
        <f t="shared" si="12"/>
        <v>1.2675</v>
      </c>
      <c r="F34" s="11">
        <f t="shared" si="12"/>
        <v>1.2675</v>
      </c>
      <c r="G34" s="11">
        <f t="shared" si="12"/>
        <v>1.2675</v>
      </c>
      <c r="H34" s="11">
        <f t="shared" si="12"/>
        <v>1.2675</v>
      </c>
      <c r="I34" s="11">
        <f t="shared" si="12"/>
        <v>1.2675</v>
      </c>
      <c r="J34" s="11">
        <f t="shared" si="12"/>
        <v>1.2675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X34" s="8"/>
      <c r="Y34" s="10"/>
    </row>
    <row r="35" spans="1:25" s="2" customFormat="1" ht="12.75">
      <c r="A35" s="28"/>
      <c r="B35" s="1" t="s">
        <v>22</v>
      </c>
      <c r="C35" s="119"/>
      <c r="D35" s="127">
        <f t="shared" si="12"/>
        <v>1.284375</v>
      </c>
      <c r="E35" s="134">
        <f t="shared" si="12"/>
        <v>1.284375</v>
      </c>
      <c r="F35" s="11">
        <f t="shared" si="12"/>
        <v>1.284375</v>
      </c>
      <c r="G35" s="11">
        <f t="shared" si="12"/>
        <v>1.284375</v>
      </c>
      <c r="H35" s="11">
        <f t="shared" si="12"/>
        <v>1.284375</v>
      </c>
      <c r="I35" s="11">
        <f t="shared" si="12"/>
        <v>1.284375</v>
      </c>
      <c r="J35" s="11">
        <f t="shared" si="12"/>
        <v>1.284375</v>
      </c>
      <c r="K35" s="11">
        <f t="shared" si="12"/>
        <v>1.284375</v>
      </c>
      <c r="L35" s="11">
        <f t="shared" si="12"/>
        <v>1.284375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X35" s="8"/>
      <c r="Y35" s="10"/>
    </row>
    <row r="36" spans="1:25" s="2" customFormat="1" ht="12.75">
      <c r="A36" s="28"/>
      <c r="B36" s="1" t="s">
        <v>24</v>
      </c>
      <c r="C36" s="119"/>
      <c r="D36" s="127">
        <f t="shared" si="12"/>
        <v>2.73009375</v>
      </c>
      <c r="E36" s="134">
        <f t="shared" si="12"/>
        <v>2.73009375</v>
      </c>
      <c r="F36" s="11">
        <f t="shared" si="12"/>
        <v>2.73009375</v>
      </c>
      <c r="G36" s="11">
        <f t="shared" si="12"/>
        <v>2.73009375</v>
      </c>
      <c r="H36" s="11">
        <f t="shared" si="12"/>
        <v>2.73009375</v>
      </c>
      <c r="I36" s="11">
        <f t="shared" si="12"/>
        <v>2.73009375</v>
      </c>
      <c r="J36" s="11">
        <f t="shared" si="12"/>
        <v>2.73009375</v>
      </c>
      <c r="K36" s="11">
        <f t="shared" si="12"/>
        <v>2.73009375</v>
      </c>
      <c r="L36" s="11">
        <f t="shared" si="12"/>
        <v>2.73009375</v>
      </c>
      <c r="M36" s="11">
        <f t="shared" si="12"/>
        <v>2.73009375</v>
      </c>
      <c r="N36" s="11"/>
      <c r="O36" s="11"/>
      <c r="P36" s="11"/>
      <c r="Q36" s="11"/>
      <c r="R36" s="11"/>
      <c r="S36" s="11"/>
      <c r="T36" s="11"/>
      <c r="U36" s="11"/>
      <c r="V36" s="11"/>
      <c r="X36" s="8"/>
      <c r="Y36" s="10"/>
    </row>
    <row r="37" spans="1:25" s="2" customFormat="1" ht="12.75">
      <c r="A37" s="28"/>
      <c r="B37" s="1" t="s">
        <v>25</v>
      </c>
      <c r="C37" s="119"/>
      <c r="D37" s="127">
        <f t="shared" si="12"/>
        <v>2.5185</v>
      </c>
      <c r="E37" s="134">
        <f t="shared" si="12"/>
        <v>2.5185</v>
      </c>
      <c r="F37" s="11">
        <f t="shared" si="12"/>
        <v>2.5185</v>
      </c>
      <c r="G37" s="11">
        <f t="shared" si="12"/>
        <v>2.5185</v>
      </c>
      <c r="H37" s="11">
        <f t="shared" si="12"/>
        <v>2.5185</v>
      </c>
      <c r="I37" s="11">
        <f t="shared" si="12"/>
        <v>2.5185</v>
      </c>
      <c r="J37" s="11">
        <f t="shared" si="12"/>
        <v>2.5185</v>
      </c>
      <c r="K37" s="11">
        <f t="shared" si="12"/>
        <v>2.5185</v>
      </c>
      <c r="L37" s="11">
        <f t="shared" si="12"/>
        <v>2.5185</v>
      </c>
      <c r="M37" s="11">
        <f t="shared" si="12"/>
        <v>2.5185</v>
      </c>
      <c r="N37" s="11">
        <f t="shared" si="12"/>
        <v>2.5185</v>
      </c>
      <c r="O37" s="11">
        <f t="shared" si="12"/>
        <v>2.5185</v>
      </c>
      <c r="P37" s="11">
        <f t="shared" si="12"/>
        <v>2.5185</v>
      </c>
      <c r="Q37" s="11">
        <v>1.5</v>
      </c>
      <c r="R37" s="11"/>
      <c r="S37" s="11"/>
      <c r="T37" s="11"/>
      <c r="U37" s="11"/>
      <c r="V37" s="11"/>
      <c r="X37" s="8"/>
      <c r="Y37" s="10"/>
    </row>
    <row r="38" spans="1:25" s="2" customFormat="1" ht="12.75">
      <c r="A38" s="28"/>
      <c r="B38" s="1" t="s">
        <v>26</v>
      </c>
      <c r="C38" s="119"/>
      <c r="D38" s="127">
        <f t="shared" si="12"/>
        <v>4.2</v>
      </c>
      <c r="E38" s="134">
        <f t="shared" si="12"/>
        <v>4.2</v>
      </c>
      <c r="F38" s="11">
        <f t="shared" si="12"/>
        <v>4.2</v>
      </c>
      <c r="G38" s="11">
        <f t="shared" si="12"/>
        <v>4.2</v>
      </c>
      <c r="H38" s="11">
        <f t="shared" si="12"/>
        <v>4.2</v>
      </c>
      <c r="I38" s="11">
        <f t="shared" si="12"/>
        <v>4.2</v>
      </c>
      <c r="J38" s="11">
        <f t="shared" si="12"/>
        <v>4.2</v>
      </c>
      <c r="K38" s="11">
        <f t="shared" si="12"/>
        <v>4.2</v>
      </c>
      <c r="L38" s="11">
        <f t="shared" si="12"/>
        <v>4.2</v>
      </c>
      <c r="M38" s="11">
        <f t="shared" si="12"/>
        <v>4.2</v>
      </c>
      <c r="N38" s="11">
        <f t="shared" si="12"/>
        <v>4.2</v>
      </c>
      <c r="O38" s="11">
        <f t="shared" si="12"/>
        <v>4.2</v>
      </c>
      <c r="P38" s="11">
        <f t="shared" si="12"/>
        <v>4.2</v>
      </c>
      <c r="Q38" s="11">
        <f>+P38*4</f>
        <v>16.8</v>
      </c>
      <c r="R38" s="11">
        <f>+Q38/6</f>
        <v>2.8000000000000003</v>
      </c>
      <c r="S38" s="11"/>
      <c r="T38" s="11"/>
      <c r="U38" s="11"/>
      <c r="V38" s="11"/>
      <c r="X38" s="8"/>
      <c r="Y38" s="10"/>
    </row>
    <row r="39" spans="1:25" s="2" customFormat="1" ht="12.75">
      <c r="A39" s="28"/>
      <c r="B39" s="1" t="s">
        <v>27</v>
      </c>
      <c r="C39" s="119"/>
      <c r="D39" s="127">
        <f t="shared" si="12"/>
        <v>1.769625</v>
      </c>
      <c r="E39" s="134">
        <f t="shared" si="12"/>
        <v>1.769625</v>
      </c>
      <c r="F39" s="11">
        <f t="shared" si="12"/>
        <v>1.769625</v>
      </c>
      <c r="G39" s="11">
        <f t="shared" si="12"/>
        <v>1.769625</v>
      </c>
      <c r="H39" s="11">
        <f t="shared" si="12"/>
        <v>1.769625</v>
      </c>
      <c r="I39" s="11">
        <f t="shared" si="12"/>
        <v>1.769625</v>
      </c>
      <c r="J39" s="11">
        <f t="shared" si="12"/>
        <v>1.769625</v>
      </c>
      <c r="K39" s="11">
        <f t="shared" si="12"/>
        <v>1.769625</v>
      </c>
      <c r="L39" s="11">
        <f t="shared" si="12"/>
        <v>1.769625</v>
      </c>
      <c r="M39" s="11">
        <f t="shared" si="12"/>
        <v>1.769625</v>
      </c>
      <c r="N39" s="11">
        <f t="shared" si="12"/>
        <v>1.769625</v>
      </c>
      <c r="O39" s="11">
        <f t="shared" si="12"/>
        <v>1.769625</v>
      </c>
      <c r="P39" s="11">
        <f t="shared" si="12"/>
        <v>1.769625</v>
      </c>
      <c r="Q39" s="11">
        <f>+P39*4</f>
        <v>7.0785</v>
      </c>
      <c r="R39" s="11">
        <f aca="true" t="shared" si="13" ref="R39:T41">+Q39</f>
        <v>7.0785</v>
      </c>
      <c r="S39" s="11">
        <f t="shared" si="13"/>
        <v>7.0785</v>
      </c>
      <c r="T39" s="11">
        <f t="shared" si="13"/>
        <v>7.0785</v>
      </c>
      <c r="U39" s="11">
        <f>+T39*0.9</f>
        <v>6.37065</v>
      </c>
      <c r="V39" s="11"/>
      <c r="X39" s="8"/>
      <c r="Y39" s="10"/>
    </row>
    <row r="40" spans="1:25" s="2" customFormat="1" ht="12.75">
      <c r="A40" s="28"/>
      <c r="B40" s="1" t="s">
        <v>28</v>
      </c>
      <c r="C40" s="119"/>
      <c r="D40" s="127">
        <f t="shared" si="12"/>
        <v>5.8125</v>
      </c>
      <c r="E40" s="134">
        <f t="shared" si="12"/>
        <v>5.8125</v>
      </c>
      <c r="F40" s="11">
        <f t="shared" si="12"/>
        <v>5.8125</v>
      </c>
      <c r="G40" s="11">
        <f t="shared" si="12"/>
        <v>5.8125</v>
      </c>
      <c r="H40" s="11">
        <f t="shared" si="12"/>
        <v>5.8125</v>
      </c>
      <c r="I40" s="11">
        <f t="shared" si="12"/>
        <v>5.8125</v>
      </c>
      <c r="J40" s="11">
        <f t="shared" si="12"/>
        <v>5.8125</v>
      </c>
      <c r="K40" s="11">
        <f t="shared" si="12"/>
        <v>5.8125</v>
      </c>
      <c r="L40" s="11">
        <f t="shared" si="12"/>
        <v>5.8125</v>
      </c>
      <c r="M40" s="11">
        <f t="shared" si="12"/>
        <v>5.8125</v>
      </c>
      <c r="N40" s="11">
        <f t="shared" si="12"/>
        <v>5.8125</v>
      </c>
      <c r="O40" s="11">
        <f t="shared" si="12"/>
        <v>5.8125</v>
      </c>
      <c r="P40" s="11">
        <f t="shared" si="12"/>
        <v>5.8125</v>
      </c>
      <c r="Q40" s="11">
        <f>+P40*4</f>
        <v>23.25</v>
      </c>
      <c r="R40" s="11">
        <f t="shared" si="13"/>
        <v>23.25</v>
      </c>
      <c r="S40" s="11">
        <f t="shared" si="13"/>
        <v>23.25</v>
      </c>
      <c r="T40" s="11">
        <f t="shared" si="13"/>
        <v>23.25</v>
      </c>
      <c r="U40" s="11">
        <f>+T40</f>
        <v>23.25</v>
      </c>
      <c r="V40" s="11">
        <f>+U40*0.25</f>
        <v>5.8125</v>
      </c>
      <c r="X40" s="8"/>
      <c r="Y40" s="10"/>
    </row>
    <row r="41" spans="1:25" s="2" customFormat="1" ht="12.75">
      <c r="A41" s="28"/>
      <c r="B41" s="1" t="s">
        <v>29</v>
      </c>
      <c r="C41" s="119"/>
      <c r="D41" s="127">
        <f t="shared" si="12"/>
        <v>0.265625</v>
      </c>
      <c r="E41" s="134">
        <f t="shared" si="12"/>
        <v>0.265625</v>
      </c>
      <c r="F41" s="11">
        <f t="shared" si="12"/>
        <v>0.265625</v>
      </c>
      <c r="G41" s="11">
        <f t="shared" si="12"/>
        <v>0.265625</v>
      </c>
      <c r="H41" s="11">
        <f t="shared" si="12"/>
        <v>0.265625</v>
      </c>
      <c r="I41" s="11">
        <f t="shared" si="12"/>
        <v>0.265625</v>
      </c>
      <c r="J41" s="11">
        <f t="shared" si="12"/>
        <v>0.265625</v>
      </c>
      <c r="K41" s="11">
        <f t="shared" si="12"/>
        <v>0.265625</v>
      </c>
      <c r="L41" s="11">
        <f t="shared" si="12"/>
        <v>0.265625</v>
      </c>
      <c r="M41" s="11">
        <f t="shared" si="12"/>
        <v>0.265625</v>
      </c>
      <c r="N41" s="11">
        <f t="shared" si="12"/>
        <v>0.265625</v>
      </c>
      <c r="O41" s="11">
        <f t="shared" si="12"/>
        <v>0.265625</v>
      </c>
      <c r="P41" s="11">
        <f t="shared" si="12"/>
        <v>0.265625</v>
      </c>
      <c r="Q41" s="11">
        <f>+P41*4</f>
        <v>1.0625</v>
      </c>
      <c r="R41" s="11">
        <f t="shared" si="13"/>
        <v>1.0625</v>
      </c>
      <c r="S41" s="11">
        <f t="shared" si="13"/>
        <v>1.0625</v>
      </c>
      <c r="T41" s="11">
        <f t="shared" si="13"/>
        <v>1.0625</v>
      </c>
      <c r="U41" s="11">
        <f>+T41</f>
        <v>1.0625</v>
      </c>
      <c r="V41" s="11">
        <f>+U41</f>
        <v>1.0625</v>
      </c>
      <c r="X41" s="8"/>
      <c r="Y41" s="10"/>
    </row>
    <row r="42" spans="1:25" s="2" customFormat="1" ht="12.75">
      <c r="A42" s="28"/>
      <c r="B42" s="17" t="s">
        <v>82</v>
      </c>
      <c r="C42" s="119"/>
      <c r="D42" s="127">
        <f>35.6-28.7</f>
        <v>6.900000000000002</v>
      </c>
      <c r="E42" s="134">
        <f>32.9-30</f>
        <v>2.8999999999999986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X42" s="8"/>
      <c r="Y42" s="10"/>
    </row>
    <row r="43" spans="1:25" s="2" customFormat="1" ht="12.75">
      <c r="A43" s="28"/>
      <c r="B43" s="17"/>
      <c r="C43" s="119"/>
      <c r="D43" s="127"/>
      <c r="E43" s="13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X43" s="8"/>
      <c r="Y43" s="10"/>
    </row>
    <row r="44" spans="1:25" s="2" customFormat="1" ht="12.75">
      <c r="A44" s="28" t="s">
        <v>98</v>
      </c>
      <c r="B44" s="17" t="s">
        <v>94</v>
      </c>
      <c r="C44" s="119"/>
      <c r="D44" s="127"/>
      <c r="E44" s="134">
        <v>1.9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X44" s="8"/>
      <c r="Y44" s="10"/>
    </row>
    <row r="45" spans="1:25" s="2" customFormat="1" ht="12.75">
      <c r="A45" s="28"/>
      <c r="B45" s="23"/>
      <c r="C45" s="119"/>
      <c r="D45" s="127"/>
      <c r="E45" s="13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X45" s="8"/>
      <c r="Y45" s="10"/>
    </row>
    <row r="46" spans="1:25" s="2" customFormat="1" ht="12.75">
      <c r="A46" s="28"/>
      <c r="B46" s="23" t="s">
        <v>96</v>
      </c>
      <c r="C46" s="119"/>
      <c r="D46" s="127">
        <v>27.3</v>
      </c>
      <c r="E46" s="148">
        <v>29.8</v>
      </c>
      <c r="F46" s="11">
        <f>+(125-$E$46)/3</f>
        <v>31.733333333333334</v>
      </c>
      <c r="G46" s="11">
        <f aca="true" t="shared" si="14" ref="G46:P46">+F46</f>
        <v>31.733333333333334</v>
      </c>
      <c r="H46" s="11">
        <f t="shared" si="14"/>
        <v>31.733333333333334</v>
      </c>
      <c r="I46" s="11">
        <v>35</v>
      </c>
      <c r="J46" s="11">
        <f t="shared" si="14"/>
        <v>35</v>
      </c>
      <c r="K46" s="11">
        <f t="shared" si="14"/>
        <v>35</v>
      </c>
      <c r="L46" s="11">
        <f t="shared" si="14"/>
        <v>35</v>
      </c>
      <c r="M46" s="11">
        <f t="shared" si="14"/>
        <v>35</v>
      </c>
      <c r="N46" s="11">
        <f t="shared" si="14"/>
        <v>35</v>
      </c>
      <c r="O46" s="11">
        <f t="shared" si="14"/>
        <v>35</v>
      </c>
      <c r="P46" s="11">
        <f t="shared" si="14"/>
        <v>35</v>
      </c>
      <c r="Q46" s="11">
        <f>+P46*4</f>
        <v>140</v>
      </c>
      <c r="R46" s="11">
        <f>+Q46</f>
        <v>140</v>
      </c>
      <c r="S46" s="11">
        <f>+R46</f>
        <v>140</v>
      </c>
      <c r="T46" s="11">
        <f>+S46</f>
        <v>140</v>
      </c>
      <c r="U46" s="11">
        <f>+T46</f>
        <v>140</v>
      </c>
      <c r="V46" s="11">
        <f>+U46</f>
        <v>140</v>
      </c>
      <c r="X46" s="8"/>
      <c r="Y46" s="10"/>
    </row>
    <row r="47" spans="1:25" s="2" customFormat="1" ht="12.75">
      <c r="A47" s="28"/>
      <c r="C47" s="119"/>
      <c r="D47" s="127"/>
      <c r="E47" s="134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X47" s="8"/>
      <c r="Y47" s="10"/>
    </row>
    <row r="48" spans="1:25" s="2" customFormat="1" ht="12.75">
      <c r="A48" s="28"/>
      <c r="B48" s="23" t="s">
        <v>61</v>
      </c>
      <c r="C48" s="119"/>
      <c r="D48" s="127">
        <v>14.7</v>
      </c>
      <c r="E48" s="134">
        <v>8.2</v>
      </c>
      <c r="F48" s="11">
        <v>12.5</v>
      </c>
      <c r="G48" s="11">
        <f aca="true" t="shared" si="15" ref="G48:P48">+F48</f>
        <v>12.5</v>
      </c>
      <c r="H48" s="11">
        <f t="shared" si="15"/>
        <v>12.5</v>
      </c>
      <c r="I48" s="11">
        <f t="shared" si="15"/>
        <v>12.5</v>
      </c>
      <c r="J48" s="11">
        <f t="shared" si="15"/>
        <v>12.5</v>
      </c>
      <c r="K48" s="11">
        <f t="shared" si="15"/>
        <v>12.5</v>
      </c>
      <c r="L48" s="11">
        <f t="shared" si="15"/>
        <v>12.5</v>
      </c>
      <c r="M48" s="11">
        <f t="shared" si="15"/>
        <v>12.5</v>
      </c>
      <c r="N48" s="11">
        <f t="shared" si="15"/>
        <v>12.5</v>
      </c>
      <c r="O48" s="11">
        <f t="shared" si="15"/>
        <v>12.5</v>
      </c>
      <c r="P48" s="11">
        <f t="shared" si="15"/>
        <v>12.5</v>
      </c>
      <c r="Q48" s="11">
        <f>+P48*4</f>
        <v>50</v>
      </c>
      <c r="R48" s="11">
        <f>+Q48</f>
        <v>50</v>
      </c>
      <c r="S48" s="11">
        <f>+R48</f>
        <v>50</v>
      </c>
      <c r="T48" s="11">
        <f>+S48</f>
        <v>50</v>
      </c>
      <c r="U48" s="11">
        <f>+T48</f>
        <v>50</v>
      </c>
      <c r="V48" s="11">
        <f>+U48</f>
        <v>50</v>
      </c>
      <c r="X48" s="8"/>
      <c r="Y48" s="10"/>
    </row>
    <row r="49" spans="1:25" s="2" customFormat="1" ht="12.75">
      <c r="A49" s="28" t="s">
        <v>98</v>
      </c>
      <c r="B49" s="23" t="s">
        <v>95</v>
      </c>
      <c r="C49" s="119"/>
      <c r="D49" s="127">
        <v>0</v>
      </c>
      <c r="E49" s="134">
        <v>13.036</v>
      </c>
      <c r="F49" s="11">
        <v>0</v>
      </c>
      <c r="G49" s="11">
        <v>0</v>
      </c>
      <c r="H49" s="11">
        <v>0</v>
      </c>
      <c r="I49" s="25">
        <v>13</v>
      </c>
      <c r="J49" s="11">
        <v>0</v>
      </c>
      <c r="K49" s="11">
        <v>0</v>
      </c>
      <c r="L49" s="11">
        <v>0</v>
      </c>
      <c r="M49" s="25">
        <v>13</v>
      </c>
      <c r="N49" s="11">
        <v>0</v>
      </c>
      <c r="O49" s="11">
        <v>0</v>
      </c>
      <c r="P49" s="11">
        <v>0</v>
      </c>
      <c r="Q49" s="25">
        <v>13</v>
      </c>
      <c r="R49" s="25">
        <v>13</v>
      </c>
      <c r="S49" s="11">
        <v>0</v>
      </c>
      <c r="T49" s="11">
        <v>0</v>
      </c>
      <c r="U49" s="11">
        <v>0</v>
      </c>
      <c r="V49" s="11">
        <v>0</v>
      </c>
      <c r="X49" s="8"/>
      <c r="Y49" s="10"/>
    </row>
    <row r="50" spans="1:25" s="2" customFormat="1" ht="12.75">
      <c r="A50" s="28" t="s">
        <v>98</v>
      </c>
      <c r="B50" s="23" t="s">
        <v>97</v>
      </c>
      <c r="C50" s="119"/>
      <c r="D50" s="127"/>
      <c r="E50" s="134">
        <f>42.736+(315.3-310.1)</f>
        <v>47.935999999999986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X50" s="8"/>
      <c r="Y50" s="10"/>
    </row>
    <row r="51" spans="1:25" s="2" customFormat="1" ht="12.75">
      <c r="A51" s="28"/>
      <c r="C51" s="119"/>
      <c r="D51" s="127"/>
      <c r="E51" s="134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X51" s="8"/>
      <c r="Y51" s="10"/>
    </row>
    <row r="52" spans="1:25" s="2" customFormat="1" ht="12.75">
      <c r="A52" s="28"/>
      <c r="B52" s="23" t="s">
        <v>83</v>
      </c>
      <c r="C52" s="119"/>
      <c r="D52" s="127">
        <v>2.9</v>
      </c>
      <c r="E52" s="134"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8"/>
      <c r="Y52" s="10"/>
    </row>
    <row r="53" spans="1:25" s="2" customFormat="1" ht="12.75">
      <c r="A53" s="28"/>
      <c r="B53" s="2" t="s">
        <v>84</v>
      </c>
      <c r="C53" s="119"/>
      <c r="D53" s="127">
        <v>0.5</v>
      </c>
      <c r="E53" s="13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X53" s="8"/>
      <c r="Y53" s="10"/>
    </row>
    <row r="54" spans="1:25" s="2" customFormat="1" ht="12.75">
      <c r="A54" s="28"/>
      <c r="B54" s="23" t="s">
        <v>15</v>
      </c>
      <c r="C54" s="120" t="s">
        <v>88</v>
      </c>
      <c r="D54" s="127">
        <v>10</v>
      </c>
      <c r="E54" s="134">
        <v>0</v>
      </c>
      <c r="F54" s="11">
        <v>0</v>
      </c>
      <c r="G54" s="11">
        <f aca="true" t="shared" si="16" ref="G54:P54">+F54</f>
        <v>0</v>
      </c>
      <c r="H54" s="11">
        <f t="shared" si="16"/>
        <v>0</v>
      </c>
      <c r="I54" s="11">
        <f t="shared" si="16"/>
        <v>0</v>
      </c>
      <c r="J54" s="11">
        <f t="shared" si="16"/>
        <v>0</v>
      </c>
      <c r="K54" s="11">
        <f t="shared" si="16"/>
        <v>0</v>
      </c>
      <c r="L54" s="11">
        <f t="shared" si="16"/>
        <v>0</v>
      </c>
      <c r="M54" s="11">
        <f t="shared" si="16"/>
        <v>0</v>
      </c>
      <c r="N54" s="11">
        <f t="shared" si="16"/>
        <v>0</v>
      </c>
      <c r="O54" s="11">
        <f t="shared" si="16"/>
        <v>0</v>
      </c>
      <c r="P54" s="11">
        <f t="shared" si="16"/>
        <v>0</v>
      </c>
      <c r="Q54" s="11">
        <f>+P54*4</f>
        <v>0</v>
      </c>
      <c r="R54" s="11">
        <f>+Q54</f>
        <v>0</v>
      </c>
      <c r="S54" s="11">
        <f>+R54</f>
        <v>0</v>
      </c>
      <c r="T54" s="11">
        <f>+S54</f>
        <v>0</v>
      </c>
      <c r="U54" s="11">
        <f>+T54</f>
        <v>0</v>
      </c>
      <c r="V54" s="11">
        <f>+U54</f>
        <v>0</v>
      </c>
      <c r="X54" s="8"/>
      <c r="Y54" s="10"/>
    </row>
    <row r="55" spans="1:25" s="2" customFormat="1" ht="12.75">
      <c r="A55" s="28"/>
      <c r="C55" s="120"/>
      <c r="D55" s="12"/>
      <c r="E55" s="14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X55" s="8"/>
      <c r="Y55" s="10"/>
    </row>
    <row r="56" spans="1:25" s="24" customFormat="1" ht="12.75">
      <c r="A56" s="29" t="s">
        <v>34</v>
      </c>
      <c r="B56" s="23" t="s">
        <v>17</v>
      </c>
      <c r="C56" s="121"/>
      <c r="D56" s="35">
        <f>SUM(D28:D55)</f>
        <v>88.34821875000002</v>
      </c>
      <c r="E56" s="138">
        <f>SUM(E28:E55)</f>
        <v>131.19421875</v>
      </c>
      <c r="F56" s="25">
        <f aca="true" t="shared" si="17" ref="F56:R56">SUM(F28:F55)</f>
        <v>71.36805208333334</v>
      </c>
      <c r="G56" s="25">
        <f t="shared" si="17"/>
        <v>71.08055208333334</v>
      </c>
      <c r="H56" s="25">
        <f t="shared" si="17"/>
        <v>70.79305208333334</v>
      </c>
      <c r="I56" s="25">
        <f t="shared" si="17"/>
        <v>85.45771875</v>
      </c>
      <c r="J56" s="25">
        <f t="shared" si="17"/>
        <v>70.22321875</v>
      </c>
      <c r="K56" s="25">
        <f t="shared" si="17"/>
        <v>68.95571875</v>
      </c>
      <c r="L56" s="25">
        <f t="shared" si="17"/>
        <v>66.98071875</v>
      </c>
      <c r="M56" s="25">
        <f t="shared" si="17"/>
        <v>79.44634375</v>
      </c>
      <c r="N56" s="25">
        <f t="shared" si="17"/>
        <v>63.71625</v>
      </c>
      <c r="O56" s="25">
        <f t="shared" si="17"/>
        <v>63.71625</v>
      </c>
      <c r="P56" s="25">
        <f t="shared" si="17"/>
        <v>63.71625</v>
      </c>
      <c r="Q56" s="25">
        <f t="shared" si="17"/>
        <v>252.691</v>
      </c>
      <c r="R56" s="25">
        <f t="shared" si="17"/>
        <v>237.191</v>
      </c>
      <c r="S56" s="25">
        <f>SUM(S28:S55)</f>
        <v>221.391</v>
      </c>
      <c r="T56" s="25">
        <f>SUM(T28:T55)</f>
        <v>221.391</v>
      </c>
      <c r="U56" s="25">
        <f>SUM(U28:U55)</f>
        <v>220.68315</v>
      </c>
      <c r="V56" s="25">
        <f>SUM(V28:V55)</f>
        <v>196.875</v>
      </c>
      <c r="X56" s="26"/>
      <c r="Y56" s="27"/>
    </row>
    <row r="57" spans="1:25" s="24" customFormat="1" ht="12.75">
      <c r="A57" s="29"/>
      <c r="B57" s="23"/>
      <c r="C57" s="121"/>
      <c r="D57" s="35"/>
      <c r="E57" s="138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X57" s="26"/>
      <c r="Y57" s="27"/>
    </row>
    <row r="58" spans="1:25" s="24" customFormat="1" ht="12.75">
      <c r="A58" s="29"/>
      <c r="B58" s="3" t="s">
        <v>31</v>
      </c>
      <c r="C58" s="115"/>
      <c r="D58" s="127">
        <v>52</v>
      </c>
      <c r="E58" s="13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X58" s="26"/>
      <c r="Y58" s="27"/>
    </row>
    <row r="59" spans="1:25" s="2" customFormat="1" ht="12.75">
      <c r="A59" s="28"/>
      <c r="B59" s="3" t="s">
        <v>48</v>
      </c>
      <c r="C59" s="115"/>
      <c r="D59" s="12">
        <v>72</v>
      </c>
      <c r="E59" s="14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X59" s="8"/>
      <c r="Y59" s="10"/>
    </row>
    <row r="60" spans="1:25" s="24" customFormat="1" ht="13.5" thickBot="1">
      <c r="A60" s="29" t="s">
        <v>35</v>
      </c>
      <c r="B60" s="23" t="s">
        <v>37</v>
      </c>
      <c r="C60" s="122" t="s">
        <v>38</v>
      </c>
      <c r="D60" s="30">
        <f>+D23-D56+D59+D58</f>
        <v>182.76178125</v>
      </c>
      <c r="E60" s="141">
        <f aca="true" t="shared" si="18" ref="E60:V60">+E23-E56</f>
        <v>14.925781250000028</v>
      </c>
      <c r="F60" s="30">
        <f t="shared" si="18"/>
        <v>70.6076079166667</v>
      </c>
      <c r="G60" s="30">
        <f t="shared" si="18"/>
        <v>66.05597105066667</v>
      </c>
      <c r="H60" s="30">
        <f t="shared" si="18"/>
        <v>61.810680702589664</v>
      </c>
      <c r="I60" s="30">
        <f t="shared" si="18"/>
        <v>43.754119522862084</v>
      </c>
      <c r="J60" s="30">
        <f t="shared" si="18"/>
        <v>54.989625273957216</v>
      </c>
      <c r="K60" s="30">
        <f t="shared" si="18"/>
        <v>52.52598078165559</v>
      </c>
      <c r="L60" s="30">
        <f t="shared" si="18"/>
        <v>51.76707356671159</v>
      </c>
      <c r="M60" s="30">
        <f t="shared" si="18"/>
        <v>36.74658723942524</v>
      </c>
      <c r="N60" s="30">
        <f t="shared" si="18"/>
        <v>50.0943094950691</v>
      </c>
      <c r="O60" s="30">
        <f t="shared" si="18"/>
        <v>47.87818998952113</v>
      </c>
      <c r="P60" s="30">
        <f t="shared" si="18"/>
        <v>45.822389507242576</v>
      </c>
      <c r="Q60" s="112">
        <f t="shared" si="18"/>
        <v>185.4635580289703</v>
      </c>
      <c r="R60" s="112">
        <f t="shared" si="18"/>
        <v>187.9064410073086</v>
      </c>
      <c r="S60" s="112">
        <f t="shared" si="18"/>
        <v>233.98942934985175</v>
      </c>
      <c r="T60" s="112">
        <f t="shared" si="18"/>
        <v>268.81486594377634</v>
      </c>
      <c r="U60" s="112">
        <f t="shared" si="18"/>
        <v>309.57196802678965</v>
      </c>
      <c r="V60" s="112">
        <f t="shared" si="18"/>
        <v>379.4367579222551</v>
      </c>
      <c r="X60" s="26"/>
      <c r="Y60" s="27"/>
    </row>
    <row r="61" spans="1:25" s="24" customFormat="1" ht="13.5" thickTop="1">
      <c r="A61" s="29"/>
      <c r="B61" s="23"/>
      <c r="C61" s="122"/>
      <c r="D61" s="35"/>
      <c r="E61" s="138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X61" s="26"/>
      <c r="Y61" s="27"/>
    </row>
    <row r="62" spans="1:25" s="24" customFormat="1" ht="12.75">
      <c r="A62" s="29"/>
      <c r="B62" s="23"/>
      <c r="C62" s="122"/>
      <c r="D62" s="35"/>
      <c r="E62" s="138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X62" s="26"/>
      <c r="Y62" s="27"/>
    </row>
    <row r="63" spans="1:25" s="24" customFormat="1" ht="12.75">
      <c r="A63" s="29"/>
      <c r="B63" s="23"/>
      <c r="C63" s="122"/>
      <c r="D63" s="35"/>
      <c r="E63" s="138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X63" s="26"/>
      <c r="Y63" s="27"/>
    </row>
    <row r="64" spans="1:25" s="24" customFormat="1" ht="12.75">
      <c r="A64" s="29"/>
      <c r="B64" s="23"/>
      <c r="C64" s="122"/>
      <c r="D64" s="35"/>
      <c r="E64" s="138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X64" s="26"/>
      <c r="Y64" s="27"/>
    </row>
    <row r="65" spans="1:25" s="2" customFormat="1" ht="12.75">
      <c r="A65" s="28"/>
      <c r="B65" s="3"/>
      <c r="C65" s="115"/>
      <c r="D65" s="127"/>
      <c r="E65" s="13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X65" s="36" t="s">
        <v>49</v>
      </c>
      <c r="Y65" s="37" t="s">
        <v>43</v>
      </c>
    </row>
    <row r="66" spans="2:25" ht="12.75">
      <c r="B66" s="41" t="s">
        <v>18</v>
      </c>
      <c r="C66" s="4"/>
      <c r="D66" s="128"/>
      <c r="E66" s="14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X66" s="38" t="s">
        <v>18</v>
      </c>
      <c r="Y66" s="39" t="s">
        <v>42</v>
      </c>
    </row>
    <row r="67" spans="1:25" ht="12.75">
      <c r="A67" s="15" t="s">
        <v>36</v>
      </c>
      <c r="B67" s="1" t="s">
        <v>70</v>
      </c>
      <c r="C67" s="123">
        <v>250</v>
      </c>
      <c r="D67" s="128">
        <v>45</v>
      </c>
      <c r="E67" s="142">
        <v>25</v>
      </c>
      <c r="F67" s="13">
        <v>25</v>
      </c>
      <c r="G67" s="13">
        <v>25</v>
      </c>
      <c r="H67" s="13">
        <v>25</v>
      </c>
      <c r="I67" s="13">
        <f>250-(+D67+E67+F67+G67+H67)</f>
        <v>105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9">
        <f>+C67-D67-E67</f>
        <v>180</v>
      </c>
      <c r="Y67" s="5">
        <f>+X67*0.044</f>
        <v>7.92</v>
      </c>
    </row>
    <row r="68" spans="1:25" ht="12.75">
      <c r="A68" s="15" t="s">
        <v>36</v>
      </c>
      <c r="B68" s="1" t="s">
        <v>71</v>
      </c>
      <c r="C68" s="123">
        <v>16</v>
      </c>
      <c r="D68" s="128">
        <v>16</v>
      </c>
      <c r="E68" s="143">
        <v>-239</v>
      </c>
      <c r="F68" s="13"/>
      <c r="G68" s="13"/>
      <c r="H68" s="13"/>
      <c r="I68" s="33">
        <v>239</v>
      </c>
      <c r="J68" s="13"/>
      <c r="K68" s="13"/>
      <c r="L68" s="13"/>
      <c r="M68" s="113"/>
      <c r="N68" s="13"/>
      <c r="O68" s="13"/>
      <c r="P68" s="113"/>
      <c r="Q68" s="13"/>
      <c r="R68" s="13"/>
      <c r="S68" s="13"/>
      <c r="T68" s="13"/>
      <c r="U68" s="13"/>
      <c r="V68" s="13"/>
      <c r="X68" s="9">
        <v>239</v>
      </c>
      <c r="Y68" s="5">
        <f>+X68*0.044</f>
        <v>10.516</v>
      </c>
    </row>
    <row r="69" spans="1:24" ht="12.75">
      <c r="A69" s="15" t="s">
        <v>36</v>
      </c>
      <c r="B69" s="1" t="s">
        <v>21</v>
      </c>
      <c r="C69" s="123">
        <v>35</v>
      </c>
      <c r="D69" s="128">
        <v>35</v>
      </c>
      <c r="E69" s="14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X69" s="9">
        <f>+C69-D69</f>
        <v>0</v>
      </c>
    </row>
    <row r="70" spans="1:22" ht="12.75">
      <c r="A70" s="15"/>
      <c r="B70" s="1" t="s">
        <v>93</v>
      </c>
      <c r="C70" s="123"/>
      <c r="D70" s="128"/>
      <c r="E70" s="142">
        <v>0.3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5" ht="12.75">
      <c r="A71" s="15" t="s">
        <v>36</v>
      </c>
      <c r="B71" s="77" t="s">
        <v>30</v>
      </c>
      <c r="C71" s="124">
        <f>+X71</f>
        <v>184</v>
      </c>
      <c r="D71" s="128"/>
      <c r="E71" s="14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v>184</v>
      </c>
      <c r="T71" s="13"/>
      <c r="U71" s="13"/>
      <c r="V71" s="13"/>
      <c r="X71" s="9">
        <f aca="true" t="shared" si="19" ref="X71:X80">SUM(D71:W71)</f>
        <v>184</v>
      </c>
      <c r="Y71" s="5">
        <f>+X71*0.0625</f>
        <v>11.5</v>
      </c>
    </row>
    <row r="72" spans="1:22" ht="12.75">
      <c r="A72" s="15" t="s">
        <v>36</v>
      </c>
      <c r="B72" s="17" t="s">
        <v>12</v>
      </c>
      <c r="C72" s="123"/>
      <c r="D72" s="128"/>
      <c r="E72" s="14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5" ht="12.75">
      <c r="A73" s="15" t="s">
        <v>36</v>
      </c>
      <c r="B73" s="7" t="s">
        <v>23</v>
      </c>
      <c r="C73" s="124">
        <v>130</v>
      </c>
      <c r="D73" s="128"/>
      <c r="E73" s="142"/>
      <c r="F73" s="13"/>
      <c r="G73" s="13"/>
      <c r="H73" s="13"/>
      <c r="I73" s="13"/>
      <c r="J73" s="13"/>
      <c r="K73" s="159">
        <f>130*0.6</f>
        <v>78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X73" s="9">
        <f t="shared" si="19"/>
        <v>78</v>
      </c>
      <c r="Y73" s="5">
        <f>+X73*0.065</f>
        <v>5.07</v>
      </c>
    </row>
    <row r="74" spans="1:25" ht="12.75">
      <c r="A74" s="15" t="s">
        <v>36</v>
      </c>
      <c r="B74" s="1" t="s">
        <v>22</v>
      </c>
      <c r="C74" s="124">
        <v>125</v>
      </c>
      <c r="D74" s="128"/>
      <c r="E74" s="142"/>
      <c r="F74" s="13"/>
      <c r="G74" s="13"/>
      <c r="H74" s="13"/>
      <c r="I74" s="13"/>
      <c r="J74" s="13"/>
      <c r="K74" s="13"/>
      <c r="L74" s="13">
        <f>125*0.6</f>
        <v>75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X74" s="9">
        <f t="shared" si="19"/>
        <v>75</v>
      </c>
      <c r="Y74" s="5">
        <f>+X74*0.0685</f>
        <v>5.1375</v>
      </c>
    </row>
    <row r="75" spans="1:25" ht="12.75">
      <c r="A75" s="15" t="s">
        <v>36</v>
      </c>
      <c r="B75" s="1" t="s">
        <v>24</v>
      </c>
      <c r="C75" s="124">
        <v>255</v>
      </c>
      <c r="D75" s="128"/>
      <c r="E75" s="142"/>
      <c r="F75" s="13"/>
      <c r="G75" s="13"/>
      <c r="H75" s="13"/>
      <c r="I75" s="13"/>
      <c r="J75" s="13"/>
      <c r="K75" s="13"/>
      <c r="L75" s="13"/>
      <c r="M75" s="13"/>
      <c r="N75" s="13">
        <f>255*0.75</f>
        <v>191.25</v>
      </c>
      <c r="O75" s="13"/>
      <c r="P75" s="13"/>
      <c r="Q75" s="13"/>
      <c r="R75" s="13"/>
      <c r="S75" s="13"/>
      <c r="T75" s="13"/>
      <c r="U75" s="13"/>
      <c r="V75" s="13"/>
      <c r="X75" s="9">
        <f t="shared" si="19"/>
        <v>191.25</v>
      </c>
      <c r="Y75" s="5">
        <f>+X75*0.0571</f>
        <v>10.920375</v>
      </c>
    </row>
    <row r="76" spans="1:25" ht="12.75">
      <c r="A76" s="15" t="s">
        <v>36</v>
      </c>
      <c r="B76" s="1" t="s">
        <v>25</v>
      </c>
      <c r="C76" s="124">
        <v>138</v>
      </c>
      <c r="D76" s="128"/>
      <c r="E76" s="14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>
        <v>138</v>
      </c>
      <c r="R76" s="13"/>
      <c r="S76" s="13"/>
      <c r="T76" s="13"/>
      <c r="U76" s="13"/>
      <c r="V76" s="13"/>
      <c r="X76" s="9">
        <f t="shared" si="19"/>
        <v>138</v>
      </c>
      <c r="Y76" s="5">
        <f>+X76*0.073</f>
        <v>10.074</v>
      </c>
    </row>
    <row r="77" spans="1:25" ht="12.75">
      <c r="A77" s="15" t="s">
        <v>36</v>
      </c>
      <c r="B77" s="1" t="s">
        <v>26</v>
      </c>
      <c r="C77" s="124">
        <v>320</v>
      </c>
      <c r="D77" s="128"/>
      <c r="E77" s="14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320</v>
      </c>
      <c r="S77" s="13"/>
      <c r="T77" s="13"/>
      <c r="U77" s="13"/>
      <c r="V77" s="13"/>
      <c r="X77" s="9">
        <f t="shared" si="19"/>
        <v>320</v>
      </c>
      <c r="Y77" s="5">
        <f>+X77*0.0525</f>
        <v>16.8</v>
      </c>
    </row>
    <row r="78" spans="1:25" ht="12.75">
      <c r="A78" s="15" t="s">
        <v>36</v>
      </c>
      <c r="B78" s="1" t="s">
        <v>27</v>
      </c>
      <c r="C78" s="124">
        <v>121</v>
      </c>
      <c r="D78" s="128"/>
      <c r="E78" s="14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>
        <v>121</v>
      </c>
      <c r="V78" s="13"/>
      <c r="X78" s="9">
        <f t="shared" si="19"/>
        <v>121</v>
      </c>
      <c r="Y78" s="5">
        <f>+X78*0.0585</f>
        <v>7.0785</v>
      </c>
    </row>
    <row r="79" spans="1:25" ht="12.75">
      <c r="A79" s="15" t="s">
        <v>36</v>
      </c>
      <c r="B79" s="1" t="s">
        <v>28</v>
      </c>
      <c r="C79" s="124">
        <v>300</v>
      </c>
      <c r="D79" s="128"/>
      <c r="E79" s="1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300</v>
      </c>
      <c r="X79" s="9">
        <f t="shared" si="19"/>
        <v>300</v>
      </c>
      <c r="Y79" s="5">
        <f>+X79*0.0775</f>
        <v>23.25</v>
      </c>
    </row>
    <row r="80" spans="1:25" ht="12.75">
      <c r="A80" s="15" t="s">
        <v>36</v>
      </c>
      <c r="B80" s="1" t="s">
        <v>29</v>
      </c>
      <c r="C80" s="124">
        <v>17</v>
      </c>
      <c r="D80" s="128"/>
      <c r="E80" s="14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v>17</v>
      </c>
      <c r="X80" s="9">
        <f t="shared" si="19"/>
        <v>17</v>
      </c>
      <c r="Y80" s="5">
        <f>+X80*0.0625</f>
        <v>1.0625</v>
      </c>
    </row>
    <row r="81" spans="2:22" ht="12.75">
      <c r="B81" s="17" t="s">
        <v>60</v>
      </c>
      <c r="C81" s="32">
        <f>SUM(C67:C80)</f>
        <v>1891</v>
      </c>
      <c r="D81" s="128"/>
      <c r="E81" s="1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5" s="14" customFormat="1" ht="13.5" thickBot="1">
      <c r="A82" s="15" t="s">
        <v>39</v>
      </c>
      <c r="B82" s="14" t="s">
        <v>47</v>
      </c>
      <c r="C82" s="125" t="s">
        <v>45</v>
      </c>
      <c r="D82" s="89">
        <f aca="true" t="shared" si="20" ref="D82:R82">-SUM(D65:D81)+D60</f>
        <v>86.76178125000001</v>
      </c>
      <c r="E82" s="144">
        <f t="shared" si="20"/>
        <v>228.62578125000002</v>
      </c>
      <c r="F82" s="89">
        <f t="shared" si="20"/>
        <v>45.607607916666694</v>
      </c>
      <c r="G82" s="89">
        <f t="shared" si="20"/>
        <v>41.05597105066667</v>
      </c>
      <c r="H82" s="89">
        <f t="shared" si="20"/>
        <v>36.810680702589664</v>
      </c>
      <c r="I82" s="89">
        <f t="shared" si="20"/>
        <v>-300.2458804771379</v>
      </c>
      <c r="J82" s="89">
        <f t="shared" si="20"/>
        <v>54.989625273957216</v>
      </c>
      <c r="K82" s="89">
        <f t="shared" si="20"/>
        <v>-25.47401921834441</v>
      </c>
      <c r="L82" s="89">
        <f t="shared" si="20"/>
        <v>-23.232926433288412</v>
      </c>
      <c r="M82" s="89">
        <f t="shared" si="20"/>
        <v>36.74658723942524</v>
      </c>
      <c r="N82" s="89">
        <f t="shared" si="20"/>
        <v>-141.1556905049309</v>
      </c>
      <c r="O82" s="89">
        <f t="shared" si="20"/>
        <v>47.87818998952113</v>
      </c>
      <c r="P82" s="89">
        <f t="shared" si="20"/>
        <v>45.822389507242576</v>
      </c>
      <c r="Q82" s="89">
        <f t="shared" si="20"/>
        <v>47.46355802897031</v>
      </c>
      <c r="R82" s="89">
        <f t="shared" si="20"/>
        <v>-132.0935589926914</v>
      </c>
      <c r="S82" s="89">
        <f>-SUM(S65:S81)+S60</f>
        <v>49.98942934985175</v>
      </c>
      <c r="T82" s="89">
        <f>-SUM(T65:T81)+T60</f>
        <v>268.81486594377634</v>
      </c>
      <c r="U82" s="89">
        <f>-SUM(U65:U81)+U60</f>
        <v>188.57196802678965</v>
      </c>
      <c r="V82" s="89">
        <f>-SUM(V65:V81)+V60</f>
        <v>62.43675792225508</v>
      </c>
      <c r="W82" s="32"/>
      <c r="X82" s="44">
        <f>SUM(X65:X81)</f>
        <v>1843.25</v>
      </c>
      <c r="Y82" s="44">
        <f>SUM(Y65:Y81)</f>
        <v>109.32887500000001</v>
      </c>
    </row>
    <row r="83" spans="3:23" ht="14.25" thickBot="1" thickTop="1">
      <c r="C83" s="4"/>
      <c r="D83" s="128"/>
      <c r="E83" s="14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4"/>
    </row>
    <row r="84" spans="1:25" s="14" customFormat="1" ht="13.5" thickBot="1">
      <c r="A84" s="87" t="s">
        <v>46</v>
      </c>
      <c r="B84" s="88" t="s">
        <v>19</v>
      </c>
      <c r="C84" s="126"/>
      <c r="D84" s="129">
        <f>+D82</f>
        <v>86.76178125000001</v>
      </c>
      <c r="E84" s="90">
        <f>+D84+E82</f>
        <v>315.38756250000006</v>
      </c>
      <c r="F84" s="91">
        <f aca="true" t="shared" si="21" ref="F84:R84">+E84+F82</f>
        <v>360.9951704166667</v>
      </c>
      <c r="G84" s="91">
        <f t="shared" si="21"/>
        <v>402.0511414673334</v>
      </c>
      <c r="H84" s="91">
        <f t="shared" si="21"/>
        <v>438.8618221699231</v>
      </c>
      <c r="I84" s="91">
        <f t="shared" si="21"/>
        <v>138.61594169278516</v>
      </c>
      <c r="J84" s="91">
        <f t="shared" si="21"/>
        <v>193.60556696674237</v>
      </c>
      <c r="K84" s="91">
        <f t="shared" si="21"/>
        <v>168.13154774839796</v>
      </c>
      <c r="L84" s="92">
        <f t="shared" si="21"/>
        <v>144.89862131510955</v>
      </c>
      <c r="M84" s="91">
        <f t="shared" si="21"/>
        <v>181.6452085545348</v>
      </c>
      <c r="N84" s="92">
        <f t="shared" si="21"/>
        <v>40.4895180496039</v>
      </c>
      <c r="O84" s="91">
        <f t="shared" si="21"/>
        <v>88.36770803912503</v>
      </c>
      <c r="P84" s="91">
        <f t="shared" si="21"/>
        <v>134.1900975463676</v>
      </c>
      <c r="Q84" s="91">
        <f t="shared" si="21"/>
        <v>181.65365557533792</v>
      </c>
      <c r="R84" s="92">
        <f t="shared" si="21"/>
        <v>49.56009658264651</v>
      </c>
      <c r="S84" s="110">
        <f>+R84+S82</f>
        <v>99.54952593249826</v>
      </c>
      <c r="T84" s="110">
        <f>+S84+T82</f>
        <v>368.36439187627457</v>
      </c>
      <c r="U84" s="110">
        <f>+T84+U82</f>
        <v>556.9363599030642</v>
      </c>
      <c r="V84" s="110">
        <f>+U84+V82</f>
        <v>619.3731178253192</v>
      </c>
      <c r="W84" s="32"/>
      <c r="X84" s="34"/>
      <c r="Y84" s="16"/>
    </row>
    <row r="85" spans="1:25" s="14" customFormat="1" ht="12.75">
      <c r="A85" s="15"/>
      <c r="D85" s="80"/>
      <c r="E85" s="33"/>
      <c r="F85" s="33"/>
      <c r="G85" s="33"/>
      <c r="H85" s="33"/>
      <c r="I85" s="33"/>
      <c r="J85" s="33"/>
      <c r="K85" s="33"/>
      <c r="L85" s="80"/>
      <c r="M85" s="33"/>
      <c r="N85" s="80"/>
      <c r="O85" s="33"/>
      <c r="P85" s="33"/>
      <c r="Q85" s="33"/>
      <c r="R85" s="33"/>
      <c r="S85" s="33"/>
      <c r="T85" s="33"/>
      <c r="U85" s="33"/>
      <c r="V85" s="33"/>
      <c r="W85" s="32"/>
      <c r="X85" s="34"/>
      <c r="Y85" s="16"/>
    </row>
    <row r="86" spans="1:25" s="14" customFormat="1" ht="12.75">
      <c r="A86" s="15"/>
      <c r="B86" s="93" t="s">
        <v>85</v>
      </c>
      <c r="C86" s="94"/>
      <c r="D86" s="95"/>
      <c r="E86" s="95">
        <f>+((+G95+G96+G97)/4)</f>
        <v>5.584875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6"/>
      <c r="S86" s="111"/>
      <c r="T86" s="111"/>
      <c r="U86" s="111"/>
      <c r="V86" s="111"/>
      <c r="W86" s="32"/>
      <c r="X86" s="34"/>
      <c r="Y86" s="16"/>
    </row>
    <row r="87" spans="1:25" s="14" customFormat="1" ht="12.75">
      <c r="A87" s="15"/>
      <c r="D87" s="80"/>
      <c r="E87" s="33"/>
      <c r="F87" s="33"/>
      <c r="G87" s="33"/>
      <c r="H87" s="33"/>
      <c r="I87" s="33"/>
      <c r="J87" s="33"/>
      <c r="K87" s="33"/>
      <c r="L87" s="80"/>
      <c r="M87" s="33"/>
      <c r="N87" s="80"/>
      <c r="O87" s="33"/>
      <c r="P87" s="33"/>
      <c r="Q87" s="33"/>
      <c r="R87" s="33"/>
      <c r="S87" s="33"/>
      <c r="T87" s="33"/>
      <c r="U87" s="33"/>
      <c r="V87" s="33"/>
      <c r="W87" s="32"/>
      <c r="X87" s="34"/>
      <c r="Y87" s="16"/>
    </row>
    <row r="88" ht="12.75">
      <c r="B88" s="42" t="s">
        <v>44</v>
      </c>
    </row>
    <row r="89" spans="2:21" ht="12.75">
      <c r="B89" s="42"/>
      <c r="U89" t="s">
        <v>76</v>
      </c>
    </row>
    <row r="90" spans="2:24" ht="12.75">
      <c r="B90" s="42"/>
      <c r="U90" t="s">
        <v>77</v>
      </c>
      <c r="W90" t="s">
        <v>78</v>
      </c>
      <c r="X90" s="9">
        <v>-84</v>
      </c>
    </row>
    <row r="91" spans="2:24" ht="12.75">
      <c r="B91" s="42"/>
      <c r="D91" s="64"/>
      <c r="E91" s="65" t="s">
        <v>57</v>
      </c>
      <c r="F91" s="66"/>
      <c r="G91" s="67"/>
      <c r="W91" t="s">
        <v>79</v>
      </c>
      <c r="X91" s="9">
        <v>-239</v>
      </c>
    </row>
    <row r="92" spans="2:24" ht="12.75">
      <c r="B92" s="42"/>
      <c r="D92" s="47" t="s">
        <v>20</v>
      </c>
      <c r="E92" s="63" t="s">
        <v>75</v>
      </c>
      <c r="F92" s="48" t="s">
        <v>74</v>
      </c>
      <c r="G92" s="48" t="s">
        <v>15</v>
      </c>
      <c r="U92" t="s">
        <v>81</v>
      </c>
      <c r="X92" s="9">
        <v>-184</v>
      </c>
    </row>
    <row r="93" spans="2:24" ht="13.5" thickBot="1">
      <c r="B93" s="42"/>
      <c r="C93" s="6" t="s">
        <v>13</v>
      </c>
      <c r="D93" s="6">
        <v>1</v>
      </c>
      <c r="E93" s="13">
        <v>251.1</v>
      </c>
      <c r="F93" s="5">
        <v>10.045872</v>
      </c>
      <c r="G93" s="5">
        <f>10*25*0.0425</f>
        <v>10.625</v>
      </c>
      <c r="U93" t="s">
        <v>80</v>
      </c>
      <c r="X93" s="68">
        <f>SUM(X82:X92)</f>
        <v>1336.25</v>
      </c>
    </row>
    <row r="94" spans="2:7" ht="13.5" thickTop="1">
      <c r="B94" s="42"/>
      <c r="C94" s="6" t="s">
        <v>34</v>
      </c>
      <c r="D94" s="6">
        <v>2</v>
      </c>
      <c r="E94" s="13">
        <v>151.6</v>
      </c>
      <c r="F94" s="5">
        <v>6.062128</v>
      </c>
      <c r="G94" s="5">
        <f>6*1.25</f>
        <v>7.5</v>
      </c>
    </row>
    <row r="95" spans="2:7" ht="13.5" thickBot="1">
      <c r="B95" s="42"/>
      <c r="C95" s="6" t="s">
        <v>35</v>
      </c>
      <c r="D95" s="6">
        <v>3</v>
      </c>
      <c r="E95" s="13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36</v>
      </c>
      <c r="D96" s="6">
        <v>5</v>
      </c>
      <c r="E96" s="13">
        <f>123</f>
        <v>123</v>
      </c>
      <c r="F96" s="5">
        <v>4.91992</v>
      </c>
      <c r="G96" s="5">
        <f>123*0.069</f>
        <v>8.487</v>
      </c>
      <c r="S96" s="17" t="s">
        <v>59</v>
      </c>
      <c r="T96" s="77" t="s">
        <v>52</v>
      </c>
      <c r="U96" t="s">
        <v>51</v>
      </c>
      <c r="V96" s="13">
        <f>(+$E$23+$F$23)*2*0+147.2*4</f>
        <v>588.8</v>
      </c>
      <c r="W96" s="15" t="s">
        <v>58</v>
      </c>
      <c r="X96" s="52">
        <f>+X93/+(V96)</f>
        <v>2.2694463315217392</v>
      </c>
    </row>
    <row r="97" spans="4:24" ht="12.75">
      <c r="D97" s="6">
        <v>7</v>
      </c>
      <c r="E97" s="13">
        <v>2.9</v>
      </c>
      <c r="F97" s="5">
        <v>0.383333</v>
      </c>
      <c r="G97" s="5">
        <f>3*0.05</f>
        <v>0.15000000000000002</v>
      </c>
      <c r="S97" s="1"/>
      <c r="T97" s="1"/>
      <c r="X97" s="43"/>
    </row>
    <row r="98" spans="5:25" ht="13.5" thickBot="1">
      <c r="E98" s="13"/>
      <c r="X98" s="1" t="s">
        <v>55</v>
      </c>
      <c r="Y98" s="45">
        <f>+Y82*0.5</f>
        <v>54.664437500000005</v>
      </c>
    </row>
    <row r="99" spans="4:25" ht="18.75" thickBot="1">
      <c r="D99" s="14" t="s">
        <v>33</v>
      </c>
      <c r="E99" s="31">
        <f>SUM(E93:E98)</f>
        <v>731.6</v>
      </c>
      <c r="F99" s="46">
        <f>SUM(F93:F98)</f>
        <v>29.532153000000005</v>
      </c>
      <c r="G99" s="46">
        <f>SUM(G93:G98)</f>
        <v>40.4645</v>
      </c>
      <c r="S99" s="17" t="s">
        <v>53</v>
      </c>
      <c r="T99" s="77" t="s">
        <v>52</v>
      </c>
      <c r="U99" t="s">
        <v>51</v>
      </c>
      <c r="V99" s="13">
        <f>(+$E$23+$F$23)</f>
        <v>288.09566000000007</v>
      </c>
      <c r="X99" s="22" t="s">
        <v>54</v>
      </c>
      <c r="Y99" s="51">
        <f>+V99/Y98</f>
        <v>5.270257468578178</v>
      </c>
    </row>
    <row r="100" ht="13.5" thickTop="1"/>
    <row r="101" ht="12.75">
      <c r="B101" s="62"/>
    </row>
    <row r="106" ht="12.75">
      <c r="L106" s="61"/>
    </row>
  </sheetData>
  <sheetProtection/>
  <printOptions/>
  <pageMargins left="0.75" right="0.75" top="1" bottom="1" header="0.5" footer="0.5"/>
  <pageSetup fitToHeight="2" fitToWidth="1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zoomScalePageLayoutView="0" workbookViewId="0" topLeftCell="A1">
      <pane xSplit="4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76" sqref="N76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9" customWidth="1"/>
    <col min="25" max="25" width="9.140625" style="5" customWidth="1"/>
  </cols>
  <sheetData>
    <row r="1" spans="2:9" ht="31.5">
      <c r="B1" s="85" t="s">
        <v>100</v>
      </c>
      <c r="G1" s="49"/>
      <c r="H1" s="50" t="s">
        <v>89</v>
      </c>
      <c r="I1" s="49"/>
    </row>
    <row r="2" spans="1:25" s="73" customFormat="1" ht="10.5" customHeight="1">
      <c r="A2" s="28"/>
      <c r="B2" s="72"/>
      <c r="H2" s="74"/>
      <c r="X2" s="75"/>
      <c r="Y2" s="76"/>
    </row>
    <row r="3" spans="2:6" ht="20.25">
      <c r="B3" s="86" t="s">
        <v>90</v>
      </c>
      <c r="C3" s="70"/>
      <c r="D3" s="155"/>
      <c r="E3" s="79"/>
      <c r="F3" s="71"/>
    </row>
    <row r="4" spans="1:25" s="17" customFormat="1" ht="13.5" thickBot="1">
      <c r="A4" s="15"/>
      <c r="C4" s="114"/>
      <c r="D4" s="145" t="s">
        <v>16</v>
      </c>
      <c r="E4" s="130" t="s">
        <v>0</v>
      </c>
      <c r="F4" s="18" t="s">
        <v>1</v>
      </c>
      <c r="G4" s="18" t="s">
        <v>2</v>
      </c>
      <c r="H4" s="18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20" t="s">
        <v>8</v>
      </c>
      <c r="N4" s="20" t="s">
        <v>9</v>
      </c>
      <c r="O4" s="20" t="s">
        <v>10</v>
      </c>
      <c r="P4" s="20" t="s">
        <v>11</v>
      </c>
      <c r="Q4" s="17">
        <v>2015</v>
      </c>
      <c r="R4" s="17">
        <v>2016</v>
      </c>
      <c r="S4" s="17">
        <v>2017</v>
      </c>
      <c r="T4" s="17">
        <v>2018</v>
      </c>
      <c r="U4" s="17">
        <v>2019</v>
      </c>
      <c r="V4" s="17">
        <v>2020</v>
      </c>
      <c r="W4" s="15"/>
      <c r="X4" s="22"/>
      <c r="Y4" s="21"/>
    </row>
    <row r="5" spans="2:25" s="99" customFormat="1" ht="17.25" thickBot="1">
      <c r="B5" s="106" t="s">
        <v>86</v>
      </c>
      <c r="C5" s="107"/>
      <c r="D5" s="156"/>
      <c r="E5" s="153"/>
      <c r="F5" s="108">
        <f>4.5%/2</f>
        <v>0.0225</v>
      </c>
      <c r="G5" s="108">
        <f aca="true" t="shared" si="0" ref="G5:O6">+F5</f>
        <v>0.0225</v>
      </c>
      <c r="H5" s="109">
        <f t="shared" si="0"/>
        <v>0.0225</v>
      </c>
      <c r="I5" s="108">
        <f t="shared" si="0"/>
        <v>0.0225</v>
      </c>
      <c r="J5" s="108">
        <f t="shared" si="0"/>
        <v>0.0225</v>
      </c>
      <c r="K5" s="108">
        <f t="shared" si="0"/>
        <v>0.0225</v>
      </c>
      <c r="L5" s="109">
        <f t="shared" si="0"/>
        <v>0.0225</v>
      </c>
      <c r="M5" s="151">
        <f t="shared" si="0"/>
        <v>0.0225</v>
      </c>
      <c r="N5" s="108">
        <f t="shared" si="0"/>
        <v>0.0225</v>
      </c>
      <c r="O5" s="108">
        <f t="shared" si="0"/>
        <v>0.0225</v>
      </c>
      <c r="P5" s="109">
        <f>+O5</f>
        <v>0.0225</v>
      </c>
      <c r="Q5" s="149">
        <v>0.15</v>
      </c>
      <c r="R5" s="149">
        <v>0.15</v>
      </c>
      <c r="S5" s="109">
        <v>0.15</v>
      </c>
      <c r="T5" s="109">
        <v>0.15</v>
      </c>
      <c r="U5" s="109">
        <v>0.15</v>
      </c>
      <c r="V5" s="109">
        <v>0.15</v>
      </c>
      <c r="X5" s="104"/>
      <c r="Y5" s="105"/>
    </row>
    <row r="6" spans="2:25" s="99" customFormat="1" ht="17.25" thickBot="1">
      <c r="B6" s="100" t="s">
        <v>87</v>
      </c>
      <c r="C6" s="101"/>
      <c r="D6" s="101"/>
      <c r="E6" s="154"/>
      <c r="F6" s="102">
        <v>-0.044</v>
      </c>
      <c r="G6" s="102">
        <f t="shared" si="0"/>
        <v>-0.044</v>
      </c>
      <c r="H6" s="103">
        <f t="shared" si="0"/>
        <v>-0.044</v>
      </c>
      <c r="I6" s="152">
        <f t="shared" si="0"/>
        <v>-0.044</v>
      </c>
      <c r="J6" s="102">
        <f t="shared" si="0"/>
        <v>-0.044</v>
      </c>
      <c r="K6" s="102">
        <f t="shared" si="0"/>
        <v>-0.044</v>
      </c>
      <c r="L6" s="103">
        <f t="shared" si="0"/>
        <v>-0.044</v>
      </c>
      <c r="M6" s="152">
        <f t="shared" si="0"/>
        <v>-0.044</v>
      </c>
      <c r="N6" s="102">
        <f t="shared" si="0"/>
        <v>-0.044</v>
      </c>
      <c r="O6" s="102">
        <f t="shared" si="0"/>
        <v>-0.044</v>
      </c>
      <c r="P6" s="103">
        <f>+O6</f>
        <v>-0.044</v>
      </c>
      <c r="Q6" s="150">
        <v>-0.15</v>
      </c>
      <c r="R6" s="150">
        <v>-0.15</v>
      </c>
      <c r="S6" s="103">
        <v>0</v>
      </c>
      <c r="T6" s="103">
        <v>0</v>
      </c>
      <c r="U6" s="103">
        <v>0</v>
      </c>
      <c r="V6" s="103">
        <v>0</v>
      </c>
      <c r="X6" s="104"/>
      <c r="Y6" s="105"/>
    </row>
    <row r="7" spans="2:6" ht="20.25">
      <c r="B7" s="69"/>
      <c r="C7" s="70"/>
      <c r="D7" s="70"/>
      <c r="E7" s="131"/>
      <c r="F7" s="71"/>
    </row>
    <row r="8" spans="1:25" s="14" customFormat="1" ht="15.75">
      <c r="A8" s="15"/>
      <c r="D8" s="125"/>
      <c r="E8" s="147" t="s">
        <v>50</v>
      </c>
      <c r="F8" s="146"/>
      <c r="X8" s="22"/>
      <c r="Y8" s="21"/>
    </row>
    <row r="9" spans="1:25" s="17" customFormat="1" ht="12.75">
      <c r="A9" s="15"/>
      <c r="C9" s="114" t="s">
        <v>32</v>
      </c>
      <c r="D9" s="145" t="s">
        <v>16</v>
      </c>
      <c r="E9" s="132" t="s">
        <v>0</v>
      </c>
      <c r="F9" s="18" t="s">
        <v>1</v>
      </c>
      <c r="G9" s="18" t="s">
        <v>2</v>
      </c>
      <c r="H9" s="18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20" t="s">
        <v>8</v>
      </c>
      <c r="N9" s="20" t="s">
        <v>9</v>
      </c>
      <c r="O9" s="20" t="s">
        <v>10</v>
      </c>
      <c r="P9" s="20" t="s">
        <v>11</v>
      </c>
      <c r="Q9" s="17">
        <v>2015</v>
      </c>
      <c r="R9" s="17">
        <v>2016</v>
      </c>
      <c r="S9" s="17">
        <v>2017</v>
      </c>
      <c r="T9" s="17">
        <v>2018</v>
      </c>
      <c r="U9" s="17">
        <v>2019</v>
      </c>
      <c r="V9" s="17">
        <v>2020</v>
      </c>
      <c r="W9" s="15" t="s">
        <v>40</v>
      </c>
      <c r="X9" s="22"/>
      <c r="Y9" s="21"/>
    </row>
    <row r="10" spans="1:25" s="2" customFormat="1" ht="12.75">
      <c r="A10" s="28"/>
      <c r="B10" s="40" t="s">
        <v>51</v>
      </c>
      <c r="C10" s="115"/>
      <c r="D10" s="119"/>
      <c r="E10" s="133"/>
      <c r="X10" s="8"/>
      <c r="Y10" s="10"/>
    </row>
    <row r="11" spans="1:25" s="2" customFormat="1" ht="12.75">
      <c r="A11" s="28"/>
      <c r="B11" s="78"/>
      <c r="C11" s="115"/>
      <c r="D11" s="119"/>
      <c r="E11" s="133"/>
      <c r="X11" s="8"/>
      <c r="Y11" s="10"/>
    </row>
    <row r="12" spans="1:25" s="2" customFormat="1" ht="12.75">
      <c r="A12" s="28"/>
      <c r="B12" s="53" t="s">
        <v>62</v>
      </c>
      <c r="C12" s="115"/>
      <c r="D12" s="127">
        <v>90</v>
      </c>
      <c r="E12" s="134">
        <v>85.9</v>
      </c>
      <c r="F12" s="11">
        <f aca="true" t="shared" si="1" ref="F12:P12">+E12*(1+F13)</f>
        <v>87.83275</v>
      </c>
      <c r="G12" s="11">
        <f t="shared" si="1"/>
        <v>89.808986875</v>
      </c>
      <c r="H12" s="11">
        <f t="shared" si="1"/>
        <v>91.8296890796875</v>
      </c>
      <c r="I12" s="11">
        <f t="shared" si="1"/>
        <v>93.89585708398046</v>
      </c>
      <c r="J12" s="11">
        <f t="shared" si="1"/>
        <v>96.00851386837002</v>
      </c>
      <c r="K12" s="11">
        <f t="shared" si="1"/>
        <v>98.16870543040834</v>
      </c>
      <c r="L12" s="11">
        <f t="shared" si="1"/>
        <v>100.37750130259252</v>
      </c>
      <c r="M12" s="11">
        <f t="shared" si="1"/>
        <v>102.63599508190084</v>
      </c>
      <c r="N12" s="11">
        <f t="shared" si="1"/>
        <v>104.94530497124362</v>
      </c>
      <c r="O12" s="11">
        <f t="shared" si="1"/>
        <v>107.30657433309659</v>
      </c>
      <c r="P12" s="11">
        <f t="shared" si="1"/>
        <v>109.72097225559126</v>
      </c>
      <c r="Q12" s="11">
        <f>+P12*4</f>
        <v>438.88388902236505</v>
      </c>
      <c r="R12" s="11">
        <f>+Q12*(1+R13)</f>
        <v>504.7164723757198</v>
      </c>
      <c r="S12" s="11">
        <f>+R12*(1+S13)</f>
        <v>580.4239432320777</v>
      </c>
      <c r="T12" s="11">
        <f>+S12*(1+T13)</f>
        <v>667.4875347168893</v>
      </c>
      <c r="U12" s="11">
        <f>+T12*(1+U13)</f>
        <v>767.6106649244226</v>
      </c>
      <c r="V12" s="11">
        <f>+U12*(1+V13)</f>
        <v>882.752264663086</v>
      </c>
      <c r="X12" s="8"/>
      <c r="Y12" s="10"/>
    </row>
    <row r="13" spans="1:25" s="2" customFormat="1" ht="12.75">
      <c r="A13" s="28"/>
      <c r="B13" s="54" t="s">
        <v>65</v>
      </c>
      <c r="C13" s="116"/>
      <c r="D13" s="116"/>
      <c r="E13" s="135"/>
      <c r="F13" s="55">
        <f aca="true" t="shared" si="2" ref="F13:R13">+F5</f>
        <v>0.0225</v>
      </c>
      <c r="G13" s="55">
        <f t="shared" si="2"/>
        <v>0.0225</v>
      </c>
      <c r="H13" s="55">
        <f t="shared" si="2"/>
        <v>0.0225</v>
      </c>
      <c r="I13" s="55">
        <f t="shared" si="2"/>
        <v>0.0225</v>
      </c>
      <c r="J13" s="55">
        <f t="shared" si="2"/>
        <v>0.0225</v>
      </c>
      <c r="K13" s="55">
        <f t="shared" si="2"/>
        <v>0.0225</v>
      </c>
      <c r="L13" s="55">
        <f t="shared" si="2"/>
        <v>0.0225</v>
      </c>
      <c r="M13" s="55">
        <f t="shared" si="2"/>
        <v>0.0225</v>
      </c>
      <c r="N13" s="55">
        <f t="shared" si="2"/>
        <v>0.0225</v>
      </c>
      <c r="O13" s="55">
        <f t="shared" si="2"/>
        <v>0.0225</v>
      </c>
      <c r="P13" s="55">
        <f t="shared" si="2"/>
        <v>0.0225</v>
      </c>
      <c r="Q13" s="55">
        <f t="shared" si="2"/>
        <v>0.15</v>
      </c>
      <c r="R13" s="55">
        <f t="shared" si="2"/>
        <v>0.15</v>
      </c>
      <c r="S13" s="55">
        <f>+S5</f>
        <v>0.15</v>
      </c>
      <c r="T13" s="55">
        <f>+T5</f>
        <v>0.15</v>
      </c>
      <c r="U13" s="55">
        <f>+U5</f>
        <v>0.15</v>
      </c>
      <c r="V13" s="55">
        <f>+V5</f>
        <v>0.15</v>
      </c>
      <c r="X13" s="8"/>
      <c r="Y13" s="10"/>
    </row>
    <row r="14" spans="1:22" s="84" customFormat="1" ht="12.75">
      <c r="A14" s="82"/>
      <c r="B14" s="83" t="s">
        <v>99</v>
      </c>
      <c r="C14" s="81"/>
      <c r="D14" s="81">
        <v>0.394</v>
      </c>
      <c r="E14" s="136">
        <v>0.4</v>
      </c>
      <c r="F14" s="84">
        <f aca="true" t="shared" si="3" ref="F14:R14">+E14</f>
        <v>0.4</v>
      </c>
      <c r="G14" s="84">
        <f t="shared" si="3"/>
        <v>0.4</v>
      </c>
      <c r="H14" s="84">
        <f t="shared" si="3"/>
        <v>0.4</v>
      </c>
      <c r="I14" s="84">
        <f t="shared" si="3"/>
        <v>0.4</v>
      </c>
      <c r="J14" s="84">
        <f t="shared" si="3"/>
        <v>0.4</v>
      </c>
      <c r="K14" s="84">
        <f t="shared" si="3"/>
        <v>0.4</v>
      </c>
      <c r="L14" s="84">
        <f t="shared" si="3"/>
        <v>0.4</v>
      </c>
      <c r="M14" s="84">
        <f t="shared" si="3"/>
        <v>0.4</v>
      </c>
      <c r="N14" s="84">
        <f t="shared" si="3"/>
        <v>0.4</v>
      </c>
      <c r="O14" s="84">
        <f t="shared" si="3"/>
        <v>0.4</v>
      </c>
      <c r="P14" s="84">
        <f t="shared" si="3"/>
        <v>0.4</v>
      </c>
      <c r="Q14" s="84">
        <f t="shared" si="3"/>
        <v>0.4</v>
      </c>
      <c r="R14" s="84">
        <f t="shared" si="3"/>
        <v>0.4</v>
      </c>
      <c r="S14" s="84">
        <f>+R14</f>
        <v>0.4</v>
      </c>
      <c r="T14" s="84">
        <f>+S14</f>
        <v>0.4</v>
      </c>
      <c r="U14" s="84">
        <f>+T14</f>
        <v>0.4</v>
      </c>
      <c r="V14" s="84">
        <f>+U14</f>
        <v>0.4</v>
      </c>
    </row>
    <row r="15" spans="1:25" s="2" customFormat="1" ht="12.75">
      <c r="A15" s="28"/>
      <c r="B15" s="24" t="s">
        <v>64</v>
      </c>
      <c r="C15" s="115"/>
      <c r="D15" s="58">
        <f>+D12*D14</f>
        <v>35.46</v>
      </c>
      <c r="E15" s="158">
        <f>+E12*E14</f>
        <v>34.36000000000001</v>
      </c>
      <c r="F15" s="58">
        <f aca="true" t="shared" si="4" ref="F15:R15">+F12*F14</f>
        <v>35.133100000000006</v>
      </c>
      <c r="G15" s="58">
        <f t="shared" si="4"/>
        <v>35.92359475</v>
      </c>
      <c r="H15" s="58">
        <f t="shared" si="4"/>
        <v>36.731875631875</v>
      </c>
      <c r="I15" s="58">
        <f t="shared" si="4"/>
        <v>37.558342833592185</v>
      </c>
      <c r="J15" s="58">
        <f t="shared" si="4"/>
        <v>38.40340554734801</v>
      </c>
      <c r="K15" s="58">
        <f t="shared" si="4"/>
        <v>39.26748217216334</v>
      </c>
      <c r="L15" s="58">
        <f t="shared" si="4"/>
        <v>40.15100052103701</v>
      </c>
      <c r="M15" s="58">
        <f t="shared" si="4"/>
        <v>41.05439803276034</v>
      </c>
      <c r="N15" s="58">
        <f t="shared" si="4"/>
        <v>41.97812198849745</v>
      </c>
      <c r="O15" s="58">
        <f t="shared" si="4"/>
        <v>42.92262973323864</v>
      </c>
      <c r="P15" s="58">
        <f t="shared" si="4"/>
        <v>43.88838890223651</v>
      </c>
      <c r="Q15" s="58">
        <f t="shared" si="4"/>
        <v>175.55355560894603</v>
      </c>
      <c r="R15" s="58">
        <f t="shared" si="4"/>
        <v>201.88658895028792</v>
      </c>
      <c r="S15" s="58">
        <f>+S12*S14</f>
        <v>232.1695772928311</v>
      </c>
      <c r="T15" s="58">
        <f>+T12*T14</f>
        <v>266.9950138867557</v>
      </c>
      <c r="U15" s="58">
        <f>+U12*U14</f>
        <v>307.04426596976907</v>
      </c>
      <c r="V15" s="58">
        <f>+V12*V14</f>
        <v>353.1009058652344</v>
      </c>
      <c r="X15" s="8"/>
      <c r="Y15" s="10"/>
    </row>
    <row r="16" spans="1:25" s="2" customFormat="1" ht="12.75">
      <c r="A16" s="28"/>
      <c r="B16" s="53"/>
      <c r="C16" s="115"/>
      <c r="D16" s="127"/>
      <c r="E16" s="13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X16" s="8"/>
      <c r="Y16" s="10"/>
    </row>
    <row r="17" spans="1:25" s="2" customFormat="1" ht="12.75">
      <c r="A17" s="28"/>
      <c r="B17" s="53" t="s">
        <v>63</v>
      </c>
      <c r="C17" s="115"/>
      <c r="D17" s="127">
        <v>223.3</v>
      </c>
      <c r="E17" s="134">
        <f>+E22-E12</f>
        <v>203.20000000000002</v>
      </c>
      <c r="F17" s="11">
        <f aca="true" t="shared" si="5" ref="F17:R17">+E17*(1+F18)</f>
        <v>194.25920000000002</v>
      </c>
      <c r="G17" s="11">
        <f t="shared" si="5"/>
        <v>185.7117952</v>
      </c>
      <c r="H17" s="11">
        <f t="shared" si="5"/>
        <v>177.5404762112</v>
      </c>
      <c r="I17" s="11">
        <f t="shared" si="5"/>
        <v>169.7286952579072</v>
      </c>
      <c r="J17" s="11">
        <f t="shared" si="5"/>
        <v>162.26063266655927</v>
      </c>
      <c r="K17" s="11">
        <f t="shared" si="5"/>
        <v>155.12116482923065</v>
      </c>
      <c r="L17" s="11">
        <f t="shared" si="5"/>
        <v>148.29583357674449</v>
      </c>
      <c r="M17" s="11">
        <f t="shared" si="5"/>
        <v>141.77081689936773</v>
      </c>
      <c r="N17" s="11">
        <f t="shared" si="5"/>
        <v>135.53290095579555</v>
      </c>
      <c r="O17" s="11">
        <f t="shared" si="5"/>
        <v>129.56945331374055</v>
      </c>
      <c r="P17" s="11">
        <f t="shared" si="5"/>
        <v>123.86839736793597</v>
      </c>
      <c r="Q17" s="11">
        <f>+P17*4</f>
        <v>495.4735894717439</v>
      </c>
      <c r="R17" s="11">
        <f t="shared" si="5"/>
        <v>421.1525510509823</v>
      </c>
      <c r="S17" s="11">
        <f>+R17*(1+S18)</f>
        <v>421.1525510509823</v>
      </c>
      <c r="T17" s="11">
        <f>+S17*(1+T18)</f>
        <v>421.1525510509823</v>
      </c>
      <c r="U17" s="11">
        <f>+T17*(1+U18)</f>
        <v>421.1525510509823</v>
      </c>
      <c r="V17" s="11">
        <f>+U17*(1+V18)</f>
        <v>421.1525510509823</v>
      </c>
      <c r="X17" s="8"/>
      <c r="Y17" s="10"/>
    </row>
    <row r="18" spans="1:25" s="2" customFormat="1" ht="12.75">
      <c r="A18" s="28"/>
      <c r="B18" s="54" t="s">
        <v>67</v>
      </c>
      <c r="C18" s="115"/>
      <c r="D18" s="127"/>
      <c r="E18" s="137"/>
      <c r="F18" s="56">
        <f aca="true" t="shared" si="6" ref="F18:R18">+F6</f>
        <v>-0.044</v>
      </c>
      <c r="G18" s="56">
        <f t="shared" si="6"/>
        <v>-0.044</v>
      </c>
      <c r="H18" s="56">
        <f t="shared" si="6"/>
        <v>-0.044</v>
      </c>
      <c r="I18" s="56">
        <f t="shared" si="6"/>
        <v>-0.044</v>
      </c>
      <c r="J18" s="56">
        <f t="shared" si="6"/>
        <v>-0.044</v>
      </c>
      <c r="K18" s="56">
        <f t="shared" si="6"/>
        <v>-0.044</v>
      </c>
      <c r="L18" s="56">
        <f t="shared" si="6"/>
        <v>-0.044</v>
      </c>
      <c r="M18" s="56">
        <f t="shared" si="6"/>
        <v>-0.044</v>
      </c>
      <c r="N18" s="56">
        <f t="shared" si="6"/>
        <v>-0.044</v>
      </c>
      <c r="O18" s="56">
        <f t="shared" si="6"/>
        <v>-0.044</v>
      </c>
      <c r="P18" s="56">
        <f t="shared" si="6"/>
        <v>-0.044</v>
      </c>
      <c r="Q18" s="56">
        <f t="shared" si="6"/>
        <v>-0.15</v>
      </c>
      <c r="R18" s="56">
        <f t="shared" si="6"/>
        <v>-0.15</v>
      </c>
      <c r="S18" s="56">
        <f>+S6</f>
        <v>0</v>
      </c>
      <c r="T18" s="56">
        <f>+T6</f>
        <v>0</v>
      </c>
      <c r="U18" s="56">
        <f>+U6</f>
        <v>0</v>
      </c>
      <c r="V18" s="56">
        <f>+V6</f>
        <v>0</v>
      </c>
      <c r="X18" s="8"/>
      <c r="Y18" s="10"/>
    </row>
    <row r="19" spans="1:23" s="84" customFormat="1" ht="15">
      <c r="A19" s="82"/>
      <c r="B19" s="83" t="s">
        <v>99</v>
      </c>
      <c r="C19" s="117"/>
      <c r="D19" s="81">
        <v>0.5</v>
      </c>
      <c r="E19" s="136">
        <f>55%</f>
        <v>0.55</v>
      </c>
      <c r="F19" s="81">
        <v>0.55</v>
      </c>
      <c r="G19" s="81">
        <v>0.545</v>
      </c>
      <c r="H19" s="81">
        <v>0.54</v>
      </c>
      <c r="I19" s="81">
        <v>0.54</v>
      </c>
      <c r="J19" s="81">
        <v>0.535</v>
      </c>
      <c r="K19" s="81">
        <v>0.53</v>
      </c>
      <c r="L19" s="81">
        <v>0.53</v>
      </c>
      <c r="M19" s="81">
        <v>0.53</v>
      </c>
      <c r="N19" s="81">
        <v>0.53</v>
      </c>
      <c r="O19" s="81">
        <v>0.53</v>
      </c>
      <c r="P19" s="81">
        <v>0.53</v>
      </c>
      <c r="Q19" s="81">
        <v>0.53</v>
      </c>
      <c r="R19" s="81">
        <v>0.53</v>
      </c>
      <c r="S19" s="81">
        <v>0.53</v>
      </c>
      <c r="T19" s="81">
        <v>0.53</v>
      </c>
      <c r="U19" s="81">
        <v>0.53</v>
      </c>
      <c r="V19" s="81">
        <v>0.53</v>
      </c>
      <c r="W19" s="98" t="s">
        <v>91</v>
      </c>
    </row>
    <row r="20" spans="1:25" s="2" customFormat="1" ht="12.75">
      <c r="A20" s="28"/>
      <c r="B20" s="24" t="s">
        <v>66</v>
      </c>
      <c r="C20" s="115"/>
      <c r="D20" s="58">
        <f>+D17*D19</f>
        <v>111.65</v>
      </c>
      <c r="E20" s="158">
        <f>+E17*E19</f>
        <v>111.76000000000002</v>
      </c>
      <c r="F20" s="58">
        <f aca="true" t="shared" si="7" ref="F20:R20">+F17*F19</f>
        <v>106.84256000000002</v>
      </c>
      <c r="G20" s="58">
        <f t="shared" si="7"/>
        <v>101.21292838400001</v>
      </c>
      <c r="H20" s="58">
        <f t="shared" si="7"/>
        <v>95.871857154048</v>
      </c>
      <c r="I20" s="58">
        <f t="shared" si="7"/>
        <v>91.65349543926989</v>
      </c>
      <c r="J20" s="58">
        <f t="shared" si="7"/>
        <v>86.80943847660922</v>
      </c>
      <c r="K20" s="58">
        <f t="shared" si="7"/>
        <v>82.21421735949225</v>
      </c>
      <c r="L20" s="58">
        <f t="shared" si="7"/>
        <v>78.59679179567458</v>
      </c>
      <c r="M20" s="58">
        <f t="shared" si="7"/>
        <v>75.1385329566649</v>
      </c>
      <c r="N20" s="58">
        <f t="shared" si="7"/>
        <v>71.83243750657165</v>
      </c>
      <c r="O20" s="58">
        <f t="shared" si="7"/>
        <v>68.6718102562825</v>
      </c>
      <c r="P20" s="58">
        <f t="shared" si="7"/>
        <v>65.65025060500606</v>
      </c>
      <c r="Q20" s="58">
        <f t="shared" si="7"/>
        <v>262.60100242002426</v>
      </c>
      <c r="R20" s="58">
        <f t="shared" si="7"/>
        <v>223.21085205702065</v>
      </c>
      <c r="S20" s="58">
        <f>+S17*S19</f>
        <v>223.21085205702065</v>
      </c>
      <c r="T20" s="58">
        <f>+T17*T19</f>
        <v>223.21085205702065</v>
      </c>
      <c r="U20" s="58">
        <f>+U17*U19</f>
        <v>223.21085205702065</v>
      </c>
      <c r="V20" s="58">
        <f>+V17*V19</f>
        <v>223.21085205702065</v>
      </c>
      <c r="X20" s="8"/>
      <c r="Y20" s="10"/>
    </row>
    <row r="21" spans="1:25" s="2" customFormat="1" ht="12.75">
      <c r="A21" s="28"/>
      <c r="B21" s="54"/>
      <c r="C21" s="115"/>
      <c r="D21" s="35"/>
      <c r="E21" s="13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X21" s="8"/>
      <c r="Y21" s="10"/>
    </row>
    <row r="22" spans="1:25" s="2" customFormat="1" ht="12.75">
      <c r="A22" s="28"/>
      <c r="B22" s="54" t="s">
        <v>68</v>
      </c>
      <c r="C22" s="115"/>
      <c r="D22" s="127">
        <f>+D12+D17</f>
        <v>313.3</v>
      </c>
      <c r="E22" s="134">
        <v>289.1</v>
      </c>
      <c r="F22" s="11">
        <f aca="true" t="shared" si="8" ref="F22:R22">+F12+F17</f>
        <v>282.09195</v>
      </c>
      <c r="G22" s="11">
        <f t="shared" si="8"/>
        <v>275.520782075</v>
      </c>
      <c r="H22" s="11">
        <f t="shared" si="8"/>
        <v>269.3701652908875</v>
      </c>
      <c r="I22" s="11">
        <f t="shared" si="8"/>
        <v>263.62455234188764</v>
      </c>
      <c r="J22" s="11">
        <f t="shared" si="8"/>
        <v>258.2691465349293</v>
      </c>
      <c r="K22" s="11">
        <f t="shared" si="8"/>
        <v>253.28987025963897</v>
      </c>
      <c r="L22" s="11">
        <f t="shared" si="8"/>
        <v>248.673334879337</v>
      </c>
      <c r="M22" s="11">
        <f t="shared" si="8"/>
        <v>244.40681198126856</v>
      </c>
      <c r="N22" s="11">
        <f t="shared" si="8"/>
        <v>240.47820592703917</v>
      </c>
      <c r="O22" s="11">
        <f t="shared" si="8"/>
        <v>236.87602764683714</v>
      </c>
      <c r="P22" s="11">
        <f t="shared" si="8"/>
        <v>233.58936962352723</v>
      </c>
      <c r="Q22" s="11">
        <f t="shared" si="8"/>
        <v>934.3574784941089</v>
      </c>
      <c r="R22" s="11">
        <f t="shared" si="8"/>
        <v>925.8690234267021</v>
      </c>
      <c r="S22" s="11">
        <f>+S12+S17</f>
        <v>1001.57649428306</v>
      </c>
      <c r="T22" s="11">
        <f>+T12+T17</f>
        <v>1088.6400857678716</v>
      </c>
      <c r="U22" s="11">
        <f>+U12+U17</f>
        <v>1188.7632159754048</v>
      </c>
      <c r="V22" s="11">
        <f>+V12+V17</f>
        <v>1303.9048157140683</v>
      </c>
      <c r="X22" s="8"/>
      <c r="Y22" s="10"/>
    </row>
    <row r="23" spans="1:25" s="24" customFormat="1" ht="13.5" thickBot="1">
      <c r="A23" s="29" t="s">
        <v>13</v>
      </c>
      <c r="B23" s="29" t="s">
        <v>92</v>
      </c>
      <c r="C23" s="118"/>
      <c r="D23" s="59">
        <f>+D15+D20</f>
        <v>147.11</v>
      </c>
      <c r="E23" s="57">
        <f>+E15+E20</f>
        <v>146.12000000000003</v>
      </c>
      <c r="F23" s="59">
        <f>+F15+F20</f>
        <v>141.97566000000003</v>
      </c>
      <c r="G23" s="59">
        <f aca="true" t="shared" si="9" ref="G23:R23">+G15+G20</f>
        <v>137.13652313400002</v>
      </c>
      <c r="H23" s="59">
        <f t="shared" si="9"/>
        <v>132.603732785923</v>
      </c>
      <c r="I23" s="59">
        <f t="shared" si="9"/>
        <v>129.21183827286208</v>
      </c>
      <c r="J23" s="59">
        <f t="shared" si="9"/>
        <v>125.21284402395722</v>
      </c>
      <c r="K23" s="59">
        <f t="shared" si="9"/>
        <v>121.4816995316556</v>
      </c>
      <c r="L23" s="59">
        <f t="shared" si="9"/>
        <v>118.74779231671158</v>
      </c>
      <c r="M23" s="59">
        <f t="shared" si="9"/>
        <v>116.19293098942524</v>
      </c>
      <c r="N23" s="59">
        <f t="shared" si="9"/>
        <v>113.8105594950691</v>
      </c>
      <c r="O23" s="59">
        <f t="shared" si="9"/>
        <v>111.59443998952113</v>
      </c>
      <c r="P23" s="59">
        <f t="shared" si="9"/>
        <v>109.53863950724258</v>
      </c>
      <c r="Q23" s="59">
        <f t="shared" si="9"/>
        <v>438.1545580289703</v>
      </c>
      <c r="R23" s="59">
        <f t="shared" si="9"/>
        <v>425.0974410073086</v>
      </c>
      <c r="S23" s="59">
        <f>+S15+S20</f>
        <v>455.38042934985174</v>
      </c>
      <c r="T23" s="59">
        <f>+T15+T20</f>
        <v>490.20586594377636</v>
      </c>
      <c r="U23" s="59">
        <f>+U15+U20</f>
        <v>530.2551180267897</v>
      </c>
      <c r="V23" s="59">
        <f>+V15+V20</f>
        <v>576.3117579222551</v>
      </c>
      <c r="X23" s="26"/>
      <c r="Y23" s="27"/>
    </row>
    <row r="24" spans="1:25" s="24" customFormat="1" ht="13.5" thickTop="1">
      <c r="A24" s="29"/>
      <c r="B24" s="24" t="s">
        <v>69</v>
      </c>
      <c r="C24" s="118"/>
      <c r="D24" s="60">
        <f>+D23/D22</f>
        <v>0.4695499521225663</v>
      </c>
      <c r="E24" s="139">
        <f>+E23/E22</f>
        <v>0.5054306468350053</v>
      </c>
      <c r="F24" s="60">
        <f>+F23/F22</f>
        <v>0.5032956807168728</v>
      </c>
      <c r="G24" s="60">
        <f aca="true" t="shared" si="10" ref="G24:R24">+G23/G22</f>
        <v>0.4977356775093279</v>
      </c>
      <c r="H24" s="60">
        <f t="shared" si="10"/>
        <v>0.49227327251600733</v>
      </c>
      <c r="I24" s="60">
        <f t="shared" si="10"/>
        <v>0.4901358281124389</v>
      </c>
      <c r="J24" s="60">
        <f t="shared" si="10"/>
        <v>0.48481533974877233</v>
      </c>
      <c r="K24" s="60">
        <f t="shared" si="10"/>
        <v>0.4796153095547357</v>
      </c>
      <c r="L24" s="60">
        <f t="shared" si="10"/>
        <v>0.4775252335532123</v>
      </c>
      <c r="M24" s="60">
        <f t="shared" si="10"/>
        <v>0.47540790719994463</v>
      </c>
      <c r="N24" s="60">
        <f t="shared" si="10"/>
        <v>0.47326766704837736</v>
      </c>
      <c r="O24" s="60">
        <f t="shared" si="10"/>
        <v>0.4711090484677468</v>
      </c>
      <c r="P24" s="60">
        <f t="shared" si="10"/>
        <v>0.4689367486362264</v>
      </c>
      <c r="Q24" s="60">
        <f t="shared" si="10"/>
        <v>0.4689367486362264</v>
      </c>
      <c r="R24" s="60">
        <f t="shared" si="10"/>
        <v>0.45913345219607304</v>
      </c>
      <c r="S24" s="60">
        <f>+S23/S22</f>
        <v>0.45466365469750597</v>
      </c>
      <c r="T24" s="60">
        <f>+T23/T22</f>
        <v>0.450291948966779</v>
      </c>
      <c r="U24" s="60">
        <f>+U23/U22</f>
        <v>0.4460561286729455</v>
      </c>
      <c r="V24" s="60">
        <f>+V23/V22</f>
        <v>0.44198913216425595</v>
      </c>
      <c r="X24" s="26"/>
      <c r="Y24" s="27"/>
    </row>
    <row r="25" spans="1:25" s="2" customFormat="1" ht="12.75">
      <c r="A25" s="28"/>
      <c r="B25" s="78"/>
      <c r="C25" s="115"/>
      <c r="D25" s="119"/>
      <c r="E25" s="133"/>
      <c r="X25" s="8"/>
      <c r="Y25" s="10"/>
    </row>
    <row r="26" spans="1:25" s="24" customFormat="1" ht="12.75">
      <c r="A26" s="29"/>
      <c r="B26" s="23"/>
      <c r="C26" s="118"/>
      <c r="D26" s="35"/>
      <c r="E26" s="1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X26" s="26"/>
      <c r="Y26" s="27"/>
    </row>
    <row r="27" spans="1:25" s="2" customFormat="1" ht="12.75">
      <c r="A27" s="28"/>
      <c r="B27" s="40" t="s">
        <v>41</v>
      </c>
      <c r="C27" s="119"/>
      <c r="D27" s="127"/>
      <c r="E27" s="1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X27" s="8"/>
      <c r="Y27" s="10"/>
    </row>
    <row r="28" spans="1:25" s="2" customFormat="1" ht="12.75">
      <c r="A28" s="28"/>
      <c r="B28" s="23" t="s">
        <v>14</v>
      </c>
      <c r="C28" s="119"/>
      <c r="D28" s="127"/>
      <c r="E28" s="13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X28" s="8"/>
      <c r="Y28" s="10"/>
    </row>
    <row r="29" spans="1:25" s="2" customFormat="1" ht="12.75">
      <c r="A29" s="28"/>
      <c r="B29" s="1" t="s">
        <v>72</v>
      </c>
      <c r="C29" s="119"/>
      <c r="D29" s="127">
        <f>266*0.05/4</f>
        <v>3.325</v>
      </c>
      <c r="E29" s="134">
        <v>2.07</v>
      </c>
      <c r="F29" s="11">
        <v>1.7825</v>
      </c>
      <c r="G29" s="11">
        <v>1.495</v>
      </c>
      <c r="H29" s="11">
        <v>1.2075</v>
      </c>
      <c r="I29" s="11">
        <v>0.92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8"/>
      <c r="Y29" s="10"/>
    </row>
    <row r="30" spans="1:25" s="2" customFormat="1" ht="12.75">
      <c r="A30" s="28"/>
      <c r="B30" s="1" t="s">
        <v>73</v>
      </c>
      <c r="C30" s="119"/>
      <c r="D30" s="127"/>
      <c r="E30" s="134">
        <f>+Y68/4</f>
        <v>2.629</v>
      </c>
      <c r="F30" s="11">
        <f>+E30</f>
        <v>2.629</v>
      </c>
      <c r="G30" s="11">
        <f>+F30</f>
        <v>2.629</v>
      </c>
      <c r="H30" s="11">
        <f>+G30</f>
        <v>2.629</v>
      </c>
      <c r="I30" s="11">
        <f>+H30*0.5</f>
        <v>1.3145</v>
      </c>
      <c r="J30" s="11"/>
      <c r="K30" s="11"/>
      <c r="L30" s="11"/>
      <c r="M30" s="25">
        <v>1.65</v>
      </c>
      <c r="N30" s="25">
        <v>1.65</v>
      </c>
      <c r="O30" s="25">
        <v>1.65</v>
      </c>
      <c r="P30" s="25">
        <v>1.65</v>
      </c>
      <c r="Q30" s="11"/>
      <c r="R30" s="11"/>
      <c r="S30" s="11"/>
      <c r="T30" s="11"/>
      <c r="U30" s="11"/>
      <c r="V30" s="11"/>
      <c r="X30" s="8"/>
      <c r="Y30" s="10"/>
    </row>
    <row r="31" spans="1:25" s="2" customFormat="1" ht="12.75">
      <c r="A31" s="28"/>
      <c r="B31" s="1" t="s">
        <v>21</v>
      </c>
      <c r="C31" s="157" t="s">
        <v>56</v>
      </c>
      <c r="D31" s="127"/>
      <c r="E31" s="13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X31" s="8"/>
      <c r="Y31" s="10"/>
    </row>
    <row r="32" spans="1:25" s="2" customFormat="1" ht="12.75">
      <c r="A32" s="28"/>
      <c r="B32" s="1" t="s">
        <v>30</v>
      </c>
      <c r="C32" s="119"/>
      <c r="D32" s="127">
        <f aca="true" t="shared" si="11" ref="D32:K32">+$Y71/4</f>
        <v>2.875</v>
      </c>
      <c r="E32" s="134">
        <f t="shared" si="11"/>
        <v>2.875</v>
      </c>
      <c r="F32" s="11">
        <f t="shared" si="11"/>
        <v>2.875</v>
      </c>
      <c r="G32" s="11">
        <f t="shared" si="11"/>
        <v>2.875</v>
      </c>
      <c r="H32" s="11">
        <f t="shared" si="11"/>
        <v>2.875</v>
      </c>
      <c r="I32" s="11">
        <f t="shared" si="11"/>
        <v>2.875</v>
      </c>
      <c r="J32" s="11">
        <f t="shared" si="11"/>
        <v>2.875</v>
      </c>
      <c r="K32" s="11">
        <f t="shared" si="11"/>
        <v>2.875</v>
      </c>
      <c r="L32" s="97">
        <v>0.9</v>
      </c>
      <c r="M32" s="97">
        <f>+$Y71/4*0</f>
        <v>0</v>
      </c>
      <c r="N32" s="97">
        <f>+M32</f>
        <v>0</v>
      </c>
      <c r="O32" s="97">
        <f>+N32</f>
        <v>0</v>
      </c>
      <c r="P32" s="97">
        <f>+O32</f>
        <v>0</v>
      </c>
      <c r="Q32" s="97">
        <f>+P32*4</f>
        <v>0</v>
      </c>
      <c r="R32" s="97">
        <f>+Q32</f>
        <v>0</v>
      </c>
      <c r="S32" s="97">
        <f>+R32</f>
        <v>0</v>
      </c>
      <c r="T32" s="97">
        <f>+S32</f>
        <v>0</v>
      </c>
      <c r="U32" s="97">
        <f>+T32</f>
        <v>0</v>
      </c>
      <c r="V32" s="97">
        <f>+U32</f>
        <v>0</v>
      </c>
      <c r="X32" s="8"/>
      <c r="Y32" s="10"/>
    </row>
    <row r="33" spans="1:25" s="2" customFormat="1" ht="12.75">
      <c r="A33" s="28"/>
      <c r="B33" s="1" t="s">
        <v>12</v>
      </c>
      <c r="C33" s="119"/>
      <c r="D33" s="127"/>
      <c r="E33" s="13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X33" s="8"/>
      <c r="Y33" s="10"/>
    </row>
    <row r="34" spans="1:25" s="2" customFormat="1" ht="12.75">
      <c r="A34" s="28"/>
      <c r="B34" s="7" t="s">
        <v>23</v>
      </c>
      <c r="C34" s="119"/>
      <c r="D34" s="127">
        <f aca="true" t="shared" si="12" ref="D34:P41">+$Y73/4</f>
        <v>1.2675</v>
      </c>
      <c r="E34" s="134">
        <f t="shared" si="12"/>
        <v>1.2675</v>
      </c>
      <c r="F34" s="11">
        <f t="shared" si="12"/>
        <v>1.2675</v>
      </c>
      <c r="G34" s="11">
        <f t="shared" si="12"/>
        <v>1.2675</v>
      </c>
      <c r="H34" s="11">
        <f t="shared" si="12"/>
        <v>1.2675</v>
      </c>
      <c r="I34" s="11">
        <f t="shared" si="12"/>
        <v>1.2675</v>
      </c>
      <c r="J34" s="11">
        <f t="shared" si="12"/>
        <v>1.2675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X34" s="8"/>
      <c r="Y34" s="10"/>
    </row>
    <row r="35" spans="1:25" s="2" customFormat="1" ht="12.75">
      <c r="A35" s="28"/>
      <c r="B35" s="1" t="s">
        <v>22</v>
      </c>
      <c r="C35" s="119"/>
      <c r="D35" s="127">
        <f t="shared" si="12"/>
        <v>1.284375</v>
      </c>
      <c r="E35" s="134">
        <f t="shared" si="12"/>
        <v>1.284375</v>
      </c>
      <c r="F35" s="11">
        <f t="shared" si="12"/>
        <v>1.284375</v>
      </c>
      <c r="G35" s="11">
        <f t="shared" si="12"/>
        <v>1.284375</v>
      </c>
      <c r="H35" s="11">
        <f t="shared" si="12"/>
        <v>1.284375</v>
      </c>
      <c r="I35" s="11">
        <f t="shared" si="12"/>
        <v>1.284375</v>
      </c>
      <c r="J35" s="11">
        <f t="shared" si="12"/>
        <v>1.284375</v>
      </c>
      <c r="K35" s="11">
        <f t="shared" si="12"/>
        <v>1.284375</v>
      </c>
      <c r="L35" s="11">
        <f t="shared" si="12"/>
        <v>1.284375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X35" s="8"/>
      <c r="Y35" s="10"/>
    </row>
    <row r="36" spans="1:25" s="2" customFormat="1" ht="12.75">
      <c r="A36" s="28"/>
      <c r="B36" s="1" t="s">
        <v>24</v>
      </c>
      <c r="C36" s="119"/>
      <c r="D36" s="127">
        <f t="shared" si="12"/>
        <v>2.184075</v>
      </c>
      <c r="E36" s="134">
        <f t="shared" si="12"/>
        <v>2.184075</v>
      </c>
      <c r="F36" s="11">
        <f t="shared" si="12"/>
        <v>2.184075</v>
      </c>
      <c r="G36" s="11">
        <f t="shared" si="12"/>
        <v>2.184075</v>
      </c>
      <c r="H36" s="11">
        <f t="shared" si="12"/>
        <v>2.184075</v>
      </c>
      <c r="I36" s="11">
        <f t="shared" si="12"/>
        <v>2.184075</v>
      </c>
      <c r="J36" s="11">
        <f t="shared" si="12"/>
        <v>2.184075</v>
      </c>
      <c r="K36" s="11">
        <f t="shared" si="12"/>
        <v>2.184075</v>
      </c>
      <c r="L36" s="11">
        <f t="shared" si="12"/>
        <v>2.184075</v>
      </c>
      <c r="M36" s="11">
        <f t="shared" si="12"/>
        <v>2.184075</v>
      </c>
      <c r="N36" s="11"/>
      <c r="O36" s="11"/>
      <c r="P36" s="11"/>
      <c r="Q36" s="11"/>
      <c r="R36" s="11"/>
      <c r="S36" s="11"/>
      <c r="T36" s="11"/>
      <c r="U36" s="11"/>
      <c r="V36" s="11"/>
      <c r="X36" s="8"/>
      <c r="Y36" s="10"/>
    </row>
    <row r="37" spans="1:25" s="2" customFormat="1" ht="12.75">
      <c r="A37" s="28"/>
      <c r="B37" s="1" t="s">
        <v>25</v>
      </c>
      <c r="C37" s="119"/>
      <c r="D37" s="127">
        <f t="shared" si="12"/>
        <v>2.5185</v>
      </c>
      <c r="E37" s="134">
        <f t="shared" si="12"/>
        <v>2.5185</v>
      </c>
      <c r="F37" s="11">
        <f t="shared" si="12"/>
        <v>2.5185</v>
      </c>
      <c r="G37" s="11">
        <f t="shared" si="12"/>
        <v>2.5185</v>
      </c>
      <c r="H37" s="11">
        <f t="shared" si="12"/>
        <v>2.5185</v>
      </c>
      <c r="I37" s="11">
        <f t="shared" si="12"/>
        <v>2.5185</v>
      </c>
      <c r="J37" s="11">
        <f t="shared" si="12"/>
        <v>2.5185</v>
      </c>
      <c r="K37" s="11">
        <f t="shared" si="12"/>
        <v>2.5185</v>
      </c>
      <c r="L37" s="11">
        <f t="shared" si="12"/>
        <v>2.5185</v>
      </c>
      <c r="M37" s="11">
        <f t="shared" si="12"/>
        <v>2.5185</v>
      </c>
      <c r="N37" s="11">
        <f t="shared" si="12"/>
        <v>2.5185</v>
      </c>
      <c r="O37" s="11">
        <f t="shared" si="12"/>
        <v>2.5185</v>
      </c>
      <c r="P37" s="11">
        <f t="shared" si="12"/>
        <v>2.5185</v>
      </c>
      <c r="Q37" s="11">
        <v>1.5</v>
      </c>
      <c r="R37" s="11"/>
      <c r="S37" s="11"/>
      <c r="T37" s="11"/>
      <c r="U37" s="11"/>
      <c r="V37" s="11"/>
      <c r="X37" s="8"/>
      <c r="Y37" s="10"/>
    </row>
    <row r="38" spans="1:25" s="2" customFormat="1" ht="12.75">
      <c r="A38" s="28"/>
      <c r="B38" s="1" t="s">
        <v>26</v>
      </c>
      <c r="C38" s="119"/>
      <c r="D38" s="127">
        <f t="shared" si="12"/>
        <v>4.2</v>
      </c>
      <c r="E38" s="134">
        <f t="shared" si="12"/>
        <v>4.2</v>
      </c>
      <c r="F38" s="11">
        <f t="shared" si="12"/>
        <v>4.2</v>
      </c>
      <c r="G38" s="11">
        <f t="shared" si="12"/>
        <v>4.2</v>
      </c>
      <c r="H38" s="11">
        <f t="shared" si="12"/>
        <v>4.2</v>
      </c>
      <c r="I38" s="11">
        <f t="shared" si="12"/>
        <v>4.2</v>
      </c>
      <c r="J38" s="11">
        <f t="shared" si="12"/>
        <v>4.2</v>
      </c>
      <c r="K38" s="11">
        <f t="shared" si="12"/>
        <v>4.2</v>
      </c>
      <c r="L38" s="11">
        <f t="shared" si="12"/>
        <v>4.2</v>
      </c>
      <c r="M38" s="11">
        <f t="shared" si="12"/>
        <v>4.2</v>
      </c>
      <c r="N38" s="11">
        <f t="shared" si="12"/>
        <v>4.2</v>
      </c>
      <c r="O38" s="11">
        <f t="shared" si="12"/>
        <v>4.2</v>
      </c>
      <c r="P38" s="11">
        <f t="shared" si="12"/>
        <v>4.2</v>
      </c>
      <c r="Q38" s="11">
        <f>+P38*4</f>
        <v>16.8</v>
      </c>
      <c r="R38" s="11">
        <f>+Q38/6</f>
        <v>2.8000000000000003</v>
      </c>
      <c r="S38" s="11"/>
      <c r="T38" s="11"/>
      <c r="U38" s="11"/>
      <c r="V38" s="11"/>
      <c r="X38" s="8"/>
      <c r="Y38" s="10"/>
    </row>
    <row r="39" spans="1:25" s="2" customFormat="1" ht="12.75">
      <c r="A39" s="28"/>
      <c r="B39" s="1" t="s">
        <v>27</v>
      </c>
      <c r="C39" s="119"/>
      <c r="D39" s="127">
        <f t="shared" si="12"/>
        <v>1.769625</v>
      </c>
      <c r="E39" s="134">
        <f t="shared" si="12"/>
        <v>1.769625</v>
      </c>
      <c r="F39" s="11">
        <f t="shared" si="12"/>
        <v>1.769625</v>
      </c>
      <c r="G39" s="11">
        <f t="shared" si="12"/>
        <v>1.769625</v>
      </c>
      <c r="H39" s="11">
        <f t="shared" si="12"/>
        <v>1.769625</v>
      </c>
      <c r="I39" s="11">
        <f t="shared" si="12"/>
        <v>1.769625</v>
      </c>
      <c r="J39" s="11">
        <f t="shared" si="12"/>
        <v>1.769625</v>
      </c>
      <c r="K39" s="11">
        <f t="shared" si="12"/>
        <v>1.769625</v>
      </c>
      <c r="L39" s="11">
        <f t="shared" si="12"/>
        <v>1.769625</v>
      </c>
      <c r="M39" s="11">
        <f t="shared" si="12"/>
        <v>1.769625</v>
      </c>
      <c r="N39" s="11">
        <f t="shared" si="12"/>
        <v>1.769625</v>
      </c>
      <c r="O39" s="11">
        <f t="shared" si="12"/>
        <v>1.769625</v>
      </c>
      <c r="P39" s="11">
        <f t="shared" si="12"/>
        <v>1.769625</v>
      </c>
      <c r="Q39" s="11">
        <f>+P39*4</f>
        <v>7.0785</v>
      </c>
      <c r="R39" s="11">
        <f aca="true" t="shared" si="13" ref="R39:T41">+Q39</f>
        <v>7.0785</v>
      </c>
      <c r="S39" s="11">
        <f t="shared" si="13"/>
        <v>7.0785</v>
      </c>
      <c r="T39" s="11">
        <f t="shared" si="13"/>
        <v>7.0785</v>
      </c>
      <c r="U39" s="11">
        <f>+T39*0.9</f>
        <v>6.37065</v>
      </c>
      <c r="V39" s="11"/>
      <c r="X39" s="8"/>
      <c r="Y39" s="10"/>
    </row>
    <row r="40" spans="1:25" s="2" customFormat="1" ht="12.75">
      <c r="A40" s="28"/>
      <c r="B40" s="1" t="s">
        <v>28</v>
      </c>
      <c r="C40" s="119"/>
      <c r="D40" s="127">
        <f t="shared" si="12"/>
        <v>5.8125</v>
      </c>
      <c r="E40" s="134">
        <f t="shared" si="12"/>
        <v>5.8125</v>
      </c>
      <c r="F40" s="11">
        <f t="shared" si="12"/>
        <v>5.8125</v>
      </c>
      <c r="G40" s="11">
        <f t="shared" si="12"/>
        <v>5.8125</v>
      </c>
      <c r="H40" s="11">
        <f t="shared" si="12"/>
        <v>5.8125</v>
      </c>
      <c r="I40" s="11">
        <f t="shared" si="12"/>
        <v>5.8125</v>
      </c>
      <c r="J40" s="11">
        <f t="shared" si="12"/>
        <v>5.8125</v>
      </c>
      <c r="K40" s="11">
        <f t="shared" si="12"/>
        <v>5.8125</v>
      </c>
      <c r="L40" s="11">
        <f t="shared" si="12"/>
        <v>5.8125</v>
      </c>
      <c r="M40" s="11">
        <f t="shared" si="12"/>
        <v>5.8125</v>
      </c>
      <c r="N40" s="11">
        <f t="shared" si="12"/>
        <v>5.8125</v>
      </c>
      <c r="O40" s="11">
        <f t="shared" si="12"/>
        <v>5.8125</v>
      </c>
      <c r="P40" s="11">
        <f t="shared" si="12"/>
        <v>5.8125</v>
      </c>
      <c r="Q40" s="11">
        <f>+P40*4</f>
        <v>23.25</v>
      </c>
      <c r="R40" s="11">
        <f t="shared" si="13"/>
        <v>23.25</v>
      </c>
      <c r="S40" s="11">
        <f t="shared" si="13"/>
        <v>23.25</v>
      </c>
      <c r="T40" s="11">
        <f t="shared" si="13"/>
        <v>23.25</v>
      </c>
      <c r="U40" s="11">
        <f>+T40</f>
        <v>23.25</v>
      </c>
      <c r="V40" s="11">
        <f>+U40*0.25</f>
        <v>5.8125</v>
      </c>
      <c r="X40" s="8"/>
      <c r="Y40" s="10"/>
    </row>
    <row r="41" spans="1:25" s="2" customFormat="1" ht="12.75">
      <c r="A41" s="28"/>
      <c r="B41" s="1" t="s">
        <v>29</v>
      </c>
      <c r="C41" s="119"/>
      <c r="D41" s="127">
        <f t="shared" si="12"/>
        <v>0.265625</v>
      </c>
      <c r="E41" s="134">
        <f t="shared" si="12"/>
        <v>0.265625</v>
      </c>
      <c r="F41" s="11">
        <f t="shared" si="12"/>
        <v>0.265625</v>
      </c>
      <c r="G41" s="11">
        <f t="shared" si="12"/>
        <v>0.265625</v>
      </c>
      <c r="H41" s="11">
        <f t="shared" si="12"/>
        <v>0.265625</v>
      </c>
      <c r="I41" s="11">
        <f t="shared" si="12"/>
        <v>0.265625</v>
      </c>
      <c r="J41" s="11">
        <f t="shared" si="12"/>
        <v>0.265625</v>
      </c>
      <c r="K41" s="11">
        <f t="shared" si="12"/>
        <v>0.265625</v>
      </c>
      <c r="L41" s="11">
        <f t="shared" si="12"/>
        <v>0.265625</v>
      </c>
      <c r="M41" s="11">
        <f t="shared" si="12"/>
        <v>0.265625</v>
      </c>
      <c r="N41" s="11">
        <f t="shared" si="12"/>
        <v>0.265625</v>
      </c>
      <c r="O41" s="11">
        <f t="shared" si="12"/>
        <v>0.265625</v>
      </c>
      <c r="P41" s="11">
        <f t="shared" si="12"/>
        <v>0.265625</v>
      </c>
      <c r="Q41" s="11">
        <f>+P41*4</f>
        <v>1.0625</v>
      </c>
      <c r="R41" s="11">
        <f t="shared" si="13"/>
        <v>1.0625</v>
      </c>
      <c r="S41" s="11">
        <f t="shared" si="13"/>
        <v>1.0625</v>
      </c>
      <c r="T41" s="11">
        <f t="shared" si="13"/>
        <v>1.0625</v>
      </c>
      <c r="U41" s="11">
        <f>+T41</f>
        <v>1.0625</v>
      </c>
      <c r="V41" s="11">
        <f>+U41</f>
        <v>1.0625</v>
      </c>
      <c r="X41" s="8"/>
      <c r="Y41" s="10"/>
    </row>
    <row r="42" spans="1:25" s="2" customFormat="1" ht="12.75">
      <c r="A42" s="28"/>
      <c r="B42" s="17" t="s">
        <v>82</v>
      </c>
      <c r="C42" s="119"/>
      <c r="D42" s="127">
        <f>35.6-28.7</f>
        <v>6.900000000000002</v>
      </c>
      <c r="E42" s="134">
        <f>32.9-30</f>
        <v>2.8999999999999986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X42" s="8"/>
      <c r="Y42" s="10"/>
    </row>
    <row r="43" spans="1:25" s="2" customFormat="1" ht="12.75">
      <c r="A43" s="28"/>
      <c r="B43" s="17"/>
      <c r="C43" s="119"/>
      <c r="D43" s="127"/>
      <c r="E43" s="13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X43" s="8"/>
      <c r="Y43" s="10"/>
    </row>
    <row r="44" spans="1:25" s="2" customFormat="1" ht="12.75">
      <c r="A44" s="28" t="s">
        <v>98</v>
      </c>
      <c r="B44" s="17" t="s">
        <v>94</v>
      </c>
      <c r="C44" s="119"/>
      <c r="D44" s="127"/>
      <c r="E44" s="134">
        <v>1.9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X44" s="8"/>
      <c r="Y44" s="10"/>
    </row>
    <row r="45" spans="1:25" s="2" customFormat="1" ht="12.75">
      <c r="A45" s="28"/>
      <c r="B45" s="23"/>
      <c r="C45" s="119"/>
      <c r="D45" s="127"/>
      <c r="E45" s="134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X45" s="8"/>
      <c r="Y45" s="10"/>
    </row>
    <row r="46" spans="1:25" s="2" customFormat="1" ht="12.75">
      <c r="A46" s="28"/>
      <c r="B46" s="23" t="s">
        <v>96</v>
      </c>
      <c r="C46" s="119"/>
      <c r="D46" s="127">
        <v>27.3</v>
      </c>
      <c r="E46" s="148">
        <v>29.8</v>
      </c>
      <c r="F46" s="11">
        <f>+(125-$E$46)/3</f>
        <v>31.733333333333334</v>
      </c>
      <c r="G46" s="11">
        <f aca="true" t="shared" si="14" ref="G46:P46">+F46</f>
        <v>31.733333333333334</v>
      </c>
      <c r="H46" s="11">
        <f t="shared" si="14"/>
        <v>31.733333333333334</v>
      </c>
      <c r="I46" s="11">
        <v>35</v>
      </c>
      <c r="J46" s="11">
        <f t="shared" si="14"/>
        <v>35</v>
      </c>
      <c r="K46" s="11">
        <f t="shared" si="14"/>
        <v>35</v>
      </c>
      <c r="L46" s="11">
        <f t="shared" si="14"/>
        <v>35</v>
      </c>
      <c r="M46" s="11">
        <f t="shared" si="14"/>
        <v>35</v>
      </c>
      <c r="N46" s="11">
        <f t="shared" si="14"/>
        <v>35</v>
      </c>
      <c r="O46" s="11">
        <f t="shared" si="14"/>
        <v>35</v>
      </c>
      <c r="P46" s="11">
        <f t="shared" si="14"/>
        <v>35</v>
      </c>
      <c r="Q46" s="11">
        <f>+P46*4</f>
        <v>140</v>
      </c>
      <c r="R46" s="11">
        <f>+Q46</f>
        <v>140</v>
      </c>
      <c r="S46" s="11">
        <f>+R46</f>
        <v>140</v>
      </c>
      <c r="T46" s="11">
        <f>+S46</f>
        <v>140</v>
      </c>
      <c r="U46" s="11">
        <f>+T46</f>
        <v>140</v>
      </c>
      <c r="V46" s="11">
        <f>+U46</f>
        <v>140</v>
      </c>
      <c r="X46" s="8"/>
      <c r="Y46" s="10"/>
    </row>
    <row r="47" spans="1:25" s="2" customFormat="1" ht="12.75">
      <c r="A47" s="28"/>
      <c r="C47" s="119"/>
      <c r="D47" s="127"/>
      <c r="E47" s="134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X47" s="8"/>
      <c r="Y47" s="10"/>
    </row>
    <row r="48" spans="1:25" s="2" customFormat="1" ht="12.75">
      <c r="A48" s="28"/>
      <c r="B48" s="23" t="s">
        <v>61</v>
      </c>
      <c r="C48" s="119"/>
      <c r="D48" s="127">
        <v>14.7</v>
      </c>
      <c r="E48" s="134">
        <v>8.2</v>
      </c>
      <c r="F48" s="11">
        <v>12.5</v>
      </c>
      <c r="G48" s="11">
        <f aca="true" t="shared" si="15" ref="G48:P48">+F48</f>
        <v>12.5</v>
      </c>
      <c r="H48" s="11">
        <f t="shared" si="15"/>
        <v>12.5</v>
      </c>
      <c r="I48" s="11">
        <f t="shared" si="15"/>
        <v>12.5</v>
      </c>
      <c r="J48" s="11">
        <f t="shared" si="15"/>
        <v>12.5</v>
      </c>
      <c r="K48" s="11">
        <f t="shared" si="15"/>
        <v>12.5</v>
      </c>
      <c r="L48" s="11">
        <f t="shared" si="15"/>
        <v>12.5</v>
      </c>
      <c r="M48" s="11">
        <f t="shared" si="15"/>
        <v>12.5</v>
      </c>
      <c r="N48" s="11">
        <f t="shared" si="15"/>
        <v>12.5</v>
      </c>
      <c r="O48" s="11">
        <f t="shared" si="15"/>
        <v>12.5</v>
      </c>
      <c r="P48" s="11">
        <f t="shared" si="15"/>
        <v>12.5</v>
      </c>
      <c r="Q48" s="11">
        <f>+P48*4</f>
        <v>50</v>
      </c>
      <c r="R48" s="11">
        <f>+Q48</f>
        <v>50</v>
      </c>
      <c r="S48" s="11">
        <f>+R48</f>
        <v>50</v>
      </c>
      <c r="T48" s="11">
        <f>+S48</f>
        <v>50</v>
      </c>
      <c r="U48" s="11">
        <f>+T48</f>
        <v>50</v>
      </c>
      <c r="V48" s="11">
        <f>+U48</f>
        <v>50</v>
      </c>
      <c r="X48" s="8"/>
      <c r="Y48" s="10"/>
    </row>
    <row r="49" spans="1:25" s="2" customFormat="1" ht="12.75">
      <c r="A49" s="28" t="s">
        <v>98</v>
      </c>
      <c r="B49" s="23" t="s">
        <v>95</v>
      </c>
      <c r="C49" s="119"/>
      <c r="D49" s="127">
        <v>0</v>
      </c>
      <c r="E49" s="134">
        <v>13.036</v>
      </c>
      <c r="F49" s="11">
        <v>0</v>
      </c>
      <c r="G49" s="11">
        <v>0</v>
      </c>
      <c r="H49" s="11">
        <v>0</v>
      </c>
      <c r="I49" s="25">
        <v>13</v>
      </c>
      <c r="J49" s="11">
        <v>0</v>
      </c>
      <c r="K49" s="11">
        <v>0</v>
      </c>
      <c r="L49" s="11">
        <v>0</v>
      </c>
      <c r="M49" s="25">
        <v>13</v>
      </c>
      <c r="N49" s="11">
        <v>0</v>
      </c>
      <c r="O49" s="11">
        <v>0</v>
      </c>
      <c r="P49" s="11">
        <v>0</v>
      </c>
      <c r="Q49" s="25">
        <v>13</v>
      </c>
      <c r="R49" s="25">
        <v>13</v>
      </c>
      <c r="S49" s="11">
        <v>0</v>
      </c>
      <c r="T49" s="11">
        <v>0</v>
      </c>
      <c r="U49" s="11">
        <v>0</v>
      </c>
      <c r="V49" s="11">
        <v>0</v>
      </c>
      <c r="X49" s="8"/>
      <c r="Y49" s="10"/>
    </row>
    <row r="50" spans="1:25" s="2" customFormat="1" ht="12.75">
      <c r="A50" s="28" t="s">
        <v>98</v>
      </c>
      <c r="B50" s="23" t="s">
        <v>97</v>
      </c>
      <c r="C50" s="119"/>
      <c r="D50" s="127"/>
      <c r="E50" s="134">
        <f>42.736+(315.3-310.1)</f>
        <v>47.935999999999986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X50" s="8"/>
      <c r="Y50" s="10"/>
    </row>
    <row r="51" spans="1:25" s="2" customFormat="1" ht="12.75">
      <c r="A51" s="28"/>
      <c r="C51" s="119"/>
      <c r="D51" s="127"/>
      <c r="E51" s="134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X51" s="8"/>
      <c r="Y51" s="10"/>
    </row>
    <row r="52" spans="1:25" s="2" customFormat="1" ht="12.75">
      <c r="A52" s="28"/>
      <c r="B52" s="23" t="s">
        <v>83</v>
      </c>
      <c r="C52" s="119"/>
      <c r="D52" s="127">
        <v>2.9</v>
      </c>
      <c r="E52" s="134"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8"/>
      <c r="Y52" s="10"/>
    </row>
    <row r="53" spans="1:25" s="2" customFormat="1" ht="12.75">
      <c r="A53" s="28"/>
      <c r="B53" s="2" t="s">
        <v>84</v>
      </c>
      <c r="C53" s="119"/>
      <c r="D53" s="127">
        <v>0.5</v>
      </c>
      <c r="E53" s="134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X53" s="8"/>
      <c r="Y53" s="10"/>
    </row>
    <row r="54" spans="1:25" s="2" customFormat="1" ht="12.75">
      <c r="A54" s="28"/>
      <c r="B54" s="23" t="s">
        <v>15</v>
      </c>
      <c r="C54" s="120" t="s">
        <v>88</v>
      </c>
      <c r="D54" s="127">
        <v>10</v>
      </c>
      <c r="E54" s="134">
        <v>0</v>
      </c>
      <c r="F54" s="11">
        <v>0</v>
      </c>
      <c r="G54" s="11">
        <f aca="true" t="shared" si="16" ref="G54:P54">+F54</f>
        <v>0</v>
      </c>
      <c r="H54" s="11">
        <f t="shared" si="16"/>
        <v>0</v>
      </c>
      <c r="I54" s="11">
        <f t="shared" si="16"/>
        <v>0</v>
      </c>
      <c r="J54" s="11">
        <f t="shared" si="16"/>
        <v>0</v>
      </c>
      <c r="K54" s="11">
        <f t="shared" si="16"/>
        <v>0</v>
      </c>
      <c r="L54" s="11">
        <f t="shared" si="16"/>
        <v>0</v>
      </c>
      <c r="M54" s="11">
        <f t="shared" si="16"/>
        <v>0</v>
      </c>
      <c r="N54" s="11">
        <f t="shared" si="16"/>
        <v>0</v>
      </c>
      <c r="O54" s="11">
        <f t="shared" si="16"/>
        <v>0</v>
      </c>
      <c r="P54" s="11">
        <f t="shared" si="16"/>
        <v>0</v>
      </c>
      <c r="Q54" s="11">
        <f>+P54*4</f>
        <v>0</v>
      </c>
      <c r="R54" s="11">
        <f>+Q54</f>
        <v>0</v>
      </c>
      <c r="S54" s="11">
        <f>+R54</f>
        <v>0</v>
      </c>
      <c r="T54" s="11">
        <f>+S54</f>
        <v>0</v>
      </c>
      <c r="U54" s="11">
        <f>+T54</f>
        <v>0</v>
      </c>
      <c r="V54" s="11">
        <f>+U54</f>
        <v>0</v>
      </c>
      <c r="X54" s="8"/>
      <c r="Y54" s="10"/>
    </row>
    <row r="55" spans="1:25" s="2" customFormat="1" ht="12.75">
      <c r="A55" s="28"/>
      <c r="C55" s="120"/>
      <c r="D55" s="12"/>
      <c r="E55" s="14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X55" s="8"/>
      <c r="Y55" s="10"/>
    </row>
    <row r="56" spans="1:25" s="24" customFormat="1" ht="12.75">
      <c r="A56" s="29" t="s">
        <v>34</v>
      </c>
      <c r="B56" s="23" t="s">
        <v>17</v>
      </c>
      <c r="C56" s="121"/>
      <c r="D56" s="35">
        <f>SUM(D28:D55)</f>
        <v>87.80220000000001</v>
      </c>
      <c r="E56" s="138">
        <f>SUM(E28:E55)</f>
        <v>130.64819999999997</v>
      </c>
      <c r="F56" s="25">
        <f aca="true" t="shared" si="17" ref="F56:R56">SUM(F28:F55)</f>
        <v>70.82203333333334</v>
      </c>
      <c r="G56" s="25">
        <f t="shared" si="17"/>
        <v>70.53453333333334</v>
      </c>
      <c r="H56" s="25">
        <f t="shared" si="17"/>
        <v>70.24703333333333</v>
      </c>
      <c r="I56" s="25">
        <f t="shared" si="17"/>
        <v>84.9117</v>
      </c>
      <c r="J56" s="25">
        <f t="shared" si="17"/>
        <v>69.6772</v>
      </c>
      <c r="K56" s="25">
        <f t="shared" si="17"/>
        <v>68.4097</v>
      </c>
      <c r="L56" s="25">
        <f t="shared" si="17"/>
        <v>66.43469999999999</v>
      </c>
      <c r="M56" s="25">
        <f t="shared" si="17"/>
        <v>78.90032500000001</v>
      </c>
      <c r="N56" s="25">
        <f t="shared" si="17"/>
        <v>63.71625</v>
      </c>
      <c r="O56" s="25">
        <f t="shared" si="17"/>
        <v>63.71625</v>
      </c>
      <c r="P56" s="25">
        <f t="shared" si="17"/>
        <v>63.71625</v>
      </c>
      <c r="Q56" s="25">
        <f t="shared" si="17"/>
        <v>252.691</v>
      </c>
      <c r="R56" s="25">
        <f t="shared" si="17"/>
        <v>237.191</v>
      </c>
      <c r="S56" s="25">
        <f>SUM(S28:S55)</f>
        <v>221.391</v>
      </c>
      <c r="T56" s="25">
        <f>SUM(T28:T55)</f>
        <v>221.391</v>
      </c>
      <c r="U56" s="25">
        <f>SUM(U28:U55)</f>
        <v>220.68315</v>
      </c>
      <c r="V56" s="25">
        <f>SUM(V28:V55)</f>
        <v>196.875</v>
      </c>
      <c r="X56" s="26"/>
      <c r="Y56" s="27"/>
    </row>
    <row r="57" spans="1:25" s="24" customFormat="1" ht="12.75">
      <c r="A57" s="29"/>
      <c r="B57" s="23"/>
      <c r="C57" s="121"/>
      <c r="D57" s="35"/>
      <c r="E57" s="138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X57" s="26"/>
      <c r="Y57" s="27"/>
    </row>
    <row r="58" spans="1:25" s="24" customFormat="1" ht="12.75">
      <c r="A58" s="29"/>
      <c r="B58" s="3" t="s">
        <v>31</v>
      </c>
      <c r="C58" s="115"/>
      <c r="D58" s="127">
        <v>52</v>
      </c>
      <c r="E58" s="13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X58" s="26"/>
      <c r="Y58" s="27"/>
    </row>
    <row r="59" spans="1:25" s="2" customFormat="1" ht="12.75">
      <c r="A59" s="28"/>
      <c r="B59" s="3" t="s">
        <v>48</v>
      </c>
      <c r="C59" s="115"/>
      <c r="D59" s="12">
        <v>72</v>
      </c>
      <c r="E59" s="14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X59" s="8"/>
      <c r="Y59" s="10"/>
    </row>
    <row r="60" spans="1:25" s="24" customFormat="1" ht="13.5" thickBot="1">
      <c r="A60" s="29" t="s">
        <v>35</v>
      </c>
      <c r="B60" s="23" t="s">
        <v>37</v>
      </c>
      <c r="C60" s="122" t="s">
        <v>38</v>
      </c>
      <c r="D60" s="30">
        <f>+D23-D56+D59+D58</f>
        <v>183.3078</v>
      </c>
      <c r="E60" s="141">
        <f aca="true" t="shared" si="18" ref="E60:V60">+E23-E56</f>
        <v>15.471800000000059</v>
      </c>
      <c r="F60" s="30">
        <f t="shared" si="18"/>
        <v>71.1536266666667</v>
      </c>
      <c r="G60" s="30">
        <f t="shared" si="18"/>
        <v>66.60198980066667</v>
      </c>
      <c r="H60" s="30">
        <f t="shared" si="18"/>
        <v>62.356699452589666</v>
      </c>
      <c r="I60" s="30">
        <f t="shared" si="18"/>
        <v>44.300138272862085</v>
      </c>
      <c r="J60" s="30">
        <f t="shared" si="18"/>
        <v>55.53564402395722</v>
      </c>
      <c r="K60" s="30">
        <f t="shared" si="18"/>
        <v>53.07199953165559</v>
      </c>
      <c r="L60" s="30">
        <f t="shared" si="18"/>
        <v>52.31309231671159</v>
      </c>
      <c r="M60" s="30">
        <f t="shared" si="18"/>
        <v>37.292605989425226</v>
      </c>
      <c r="N60" s="30">
        <f t="shared" si="18"/>
        <v>50.0943094950691</v>
      </c>
      <c r="O60" s="30">
        <f t="shared" si="18"/>
        <v>47.87818998952113</v>
      </c>
      <c r="P60" s="30">
        <f t="shared" si="18"/>
        <v>45.822389507242576</v>
      </c>
      <c r="Q60" s="112">
        <f t="shared" si="18"/>
        <v>185.4635580289703</v>
      </c>
      <c r="R60" s="112">
        <f t="shared" si="18"/>
        <v>187.9064410073086</v>
      </c>
      <c r="S60" s="112">
        <f t="shared" si="18"/>
        <v>233.98942934985175</v>
      </c>
      <c r="T60" s="112">
        <f t="shared" si="18"/>
        <v>268.81486594377634</v>
      </c>
      <c r="U60" s="112">
        <f t="shared" si="18"/>
        <v>309.57196802678965</v>
      </c>
      <c r="V60" s="112">
        <f t="shared" si="18"/>
        <v>379.4367579222551</v>
      </c>
      <c r="X60" s="26"/>
      <c r="Y60" s="27"/>
    </row>
    <row r="61" spans="1:25" s="24" customFormat="1" ht="13.5" thickTop="1">
      <c r="A61" s="29"/>
      <c r="B61" s="23"/>
      <c r="C61" s="122"/>
      <c r="D61" s="35"/>
      <c r="E61" s="138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X61" s="26"/>
      <c r="Y61" s="27"/>
    </row>
    <row r="62" spans="1:25" s="24" customFormat="1" ht="12.75">
      <c r="A62" s="29"/>
      <c r="B62" s="23"/>
      <c r="C62" s="122"/>
      <c r="D62" s="35"/>
      <c r="E62" s="138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X62" s="26"/>
      <c r="Y62" s="27"/>
    </row>
    <row r="63" spans="1:25" s="24" customFormat="1" ht="12.75">
      <c r="A63" s="29"/>
      <c r="B63" s="23"/>
      <c r="C63" s="122"/>
      <c r="D63" s="35"/>
      <c r="E63" s="138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X63" s="26"/>
      <c r="Y63" s="27"/>
    </row>
    <row r="64" spans="1:25" s="24" customFormat="1" ht="12.75">
      <c r="A64" s="29"/>
      <c r="B64" s="23"/>
      <c r="C64" s="122"/>
      <c r="D64" s="35"/>
      <c r="E64" s="138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X64" s="26"/>
      <c r="Y64" s="27"/>
    </row>
    <row r="65" spans="1:25" s="2" customFormat="1" ht="12.75">
      <c r="A65" s="28"/>
      <c r="B65" s="3"/>
      <c r="C65" s="115"/>
      <c r="D65" s="127"/>
      <c r="E65" s="13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X65" s="36" t="s">
        <v>49</v>
      </c>
      <c r="Y65" s="37" t="s">
        <v>43</v>
      </c>
    </row>
    <row r="66" spans="2:25" ht="12.75">
      <c r="B66" s="41" t="s">
        <v>18</v>
      </c>
      <c r="C66" s="4"/>
      <c r="D66" s="128"/>
      <c r="E66" s="14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X66" s="38" t="s">
        <v>18</v>
      </c>
      <c r="Y66" s="39" t="s">
        <v>42</v>
      </c>
    </row>
    <row r="67" spans="1:25" ht="12.75">
      <c r="A67" s="15" t="s">
        <v>36</v>
      </c>
      <c r="B67" s="1" t="s">
        <v>70</v>
      </c>
      <c r="C67" s="123">
        <v>250</v>
      </c>
      <c r="D67" s="128">
        <v>45</v>
      </c>
      <c r="E67" s="142">
        <v>25</v>
      </c>
      <c r="F67" s="13">
        <v>25</v>
      </c>
      <c r="G67" s="13">
        <v>25</v>
      </c>
      <c r="H67" s="13">
        <v>25</v>
      </c>
      <c r="I67" s="13">
        <f>250-(+D67+E67+F67+G67+H67)</f>
        <v>105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9">
        <f>+C67-D67-E67</f>
        <v>180</v>
      </c>
      <c r="Y67" s="5">
        <f>+X67*0.044</f>
        <v>7.92</v>
      </c>
    </row>
    <row r="68" spans="1:25" ht="12.75">
      <c r="A68" s="15" t="s">
        <v>36</v>
      </c>
      <c r="B68" s="1" t="s">
        <v>71</v>
      </c>
      <c r="C68" s="123">
        <v>16</v>
      </c>
      <c r="D68" s="128">
        <v>16</v>
      </c>
      <c r="E68" s="143">
        <v>-239</v>
      </c>
      <c r="F68" s="13"/>
      <c r="G68" s="13"/>
      <c r="H68" s="13"/>
      <c r="I68" s="33">
        <v>239</v>
      </c>
      <c r="J68" s="13">
        <v>-300</v>
      </c>
      <c r="K68" s="13">
        <v>25</v>
      </c>
      <c r="L68" s="13">
        <v>25</v>
      </c>
      <c r="M68" s="13">
        <v>25</v>
      </c>
      <c r="N68" s="13">
        <v>25</v>
      </c>
      <c r="O68" s="13">
        <v>25</v>
      </c>
      <c r="P68" s="13">
        <v>25</v>
      </c>
      <c r="Q68" s="13">
        <v>150</v>
      </c>
      <c r="R68" s="13"/>
      <c r="S68" s="13"/>
      <c r="T68" s="13"/>
      <c r="U68" s="13"/>
      <c r="V68" s="13"/>
      <c r="X68" s="9">
        <v>239</v>
      </c>
      <c r="Y68" s="5">
        <f>+X68*0.044</f>
        <v>10.516</v>
      </c>
    </row>
    <row r="69" spans="1:24" ht="12.75">
      <c r="A69" s="15" t="s">
        <v>36</v>
      </c>
      <c r="B69" s="1" t="s">
        <v>21</v>
      </c>
      <c r="C69" s="123">
        <v>35</v>
      </c>
      <c r="D69" s="128">
        <v>35</v>
      </c>
      <c r="E69" s="14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X69" s="9">
        <f>+C69-D69</f>
        <v>0</v>
      </c>
    </row>
    <row r="70" spans="1:22" ht="12.75">
      <c r="A70" s="15"/>
      <c r="B70" s="1" t="s">
        <v>93</v>
      </c>
      <c r="C70" s="123"/>
      <c r="D70" s="128"/>
      <c r="E70" s="142">
        <v>0.3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5" ht="12.75">
      <c r="A71" s="15" t="s">
        <v>36</v>
      </c>
      <c r="B71" s="77" t="s">
        <v>30</v>
      </c>
      <c r="C71" s="124">
        <f>+X71</f>
        <v>184</v>
      </c>
      <c r="D71" s="128"/>
      <c r="E71" s="14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v>184</v>
      </c>
      <c r="T71" s="13"/>
      <c r="U71" s="13"/>
      <c r="V71" s="13"/>
      <c r="X71" s="9">
        <f aca="true" t="shared" si="19" ref="X71:X80">SUM(D71:W71)</f>
        <v>184</v>
      </c>
      <c r="Y71" s="5">
        <f>+X71*0.0625</f>
        <v>11.5</v>
      </c>
    </row>
    <row r="72" spans="1:22" ht="12.75">
      <c r="A72" s="15" t="s">
        <v>36</v>
      </c>
      <c r="B72" s="17" t="s">
        <v>12</v>
      </c>
      <c r="C72" s="123"/>
      <c r="D72" s="128"/>
      <c r="E72" s="14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5" ht="12.75">
      <c r="A73" s="15" t="s">
        <v>36</v>
      </c>
      <c r="B73" s="7" t="s">
        <v>23</v>
      </c>
      <c r="C73" s="124">
        <v>130</v>
      </c>
      <c r="D73" s="128"/>
      <c r="E73" s="142"/>
      <c r="F73" s="13"/>
      <c r="G73" s="13"/>
      <c r="H73" s="13"/>
      <c r="I73" s="13"/>
      <c r="J73" s="13"/>
      <c r="K73" s="13">
        <f>130*0.6</f>
        <v>78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X73" s="9">
        <f t="shared" si="19"/>
        <v>78</v>
      </c>
      <c r="Y73" s="5">
        <f>+X73*0.065</f>
        <v>5.07</v>
      </c>
    </row>
    <row r="74" spans="1:25" ht="12.75">
      <c r="A74" s="15" t="s">
        <v>36</v>
      </c>
      <c r="B74" s="1" t="s">
        <v>22</v>
      </c>
      <c r="C74" s="124">
        <v>125</v>
      </c>
      <c r="D74" s="128"/>
      <c r="E74" s="142"/>
      <c r="F74" s="13"/>
      <c r="G74" s="13"/>
      <c r="H74" s="13"/>
      <c r="I74" s="13"/>
      <c r="J74" s="13"/>
      <c r="K74" s="13"/>
      <c r="L74" s="13">
        <f>125*0.6</f>
        <v>75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X74" s="9">
        <f t="shared" si="19"/>
        <v>75</v>
      </c>
      <c r="Y74" s="5">
        <f>+X74*0.0685</f>
        <v>5.1375</v>
      </c>
    </row>
    <row r="75" spans="1:25" ht="12.75">
      <c r="A75" s="15" t="s">
        <v>36</v>
      </c>
      <c r="B75" s="1" t="s">
        <v>24</v>
      </c>
      <c r="C75" s="124">
        <v>255</v>
      </c>
      <c r="D75" s="128"/>
      <c r="E75" s="142"/>
      <c r="F75" s="13"/>
      <c r="G75" s="13"/>
      <c r="H75" s="13"/>
      <c r="I75" s="13"/>
      <c r="J75" s="13"/>
      <c r="K75" s="13"/>
      <c r="L75" s="13"/>
      <c r="M75" s="13"/>
      <c r="N75" s="13">
        <f>255*0.6</f>
        <v>153</v>
      </c>
      <c r="O75" s="13"/>
      <c r="P75" s="13"/>
      <c r="Q75" s="13"/>
      <c r="R75" s="13"/>
      <c r="S75" s="13"/>
      <c r="T75" s="13"/>
      <c r="U75" s="13"/>
      <c r="V75" s="13"/>
      <c r="X75" s="9">
        <f t="shared" si="19"/>
        <v>153</v>
      </c>
      <c r="Y75" s="5">
        <f>+X75*0.0571</f>
        <v>8.7363</v>
      </c>
    </row>
    <row r="76" spans="1:25" ht="12.75">
      <c r="A76" s="15" t="s">
        <v>36</v>
      </c>
      <c r="B76" s="1" t="s">
        <v>25</v>
      </c>
      <c r="C76" s="124">
        <v>138</v>
      </c>
      <c r="D76" s="128"/>
      <c r="E76" s="14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>
        <v>138</v>
      </c>
      <c r="R76" s="13"/>
      <c r="S76" s="13"/>
      <c r="T76" s="13"/>
      <c r="U76" s="13"/>
      <c r="V76" s="13"/>
      <c r="X76" s="9">
        <f t="shared" si="19"/>
        <v>138</v>
      </c>
      <c r="Y76" s="5">
        <f>+X76*0.073</f>
        <v>10.074</v>
      </c>
    </row>
    <row r="77" spans="1:25" ht="12.75">
      <c r="A77" s="15" t="s">
        <v>36</v>
      </c>
      <c r="B77" s="1" t="s">
        <v>26</v>
      </c>
      <c r="C77" s="124">
        <v>320</v>
      </c>
      <c r="D77" s="128"/>
      <c r="E77" s="14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320</v>
      </c>
      <c r="S77" s="13"/>
      <c r="T77" s="13"/>
      <c r="U77" s="13"/>
      <c r="V77" s="13"/>
      <c r="X77" s="9">
        <f t="shared" si="19"/>
        <v>320</v>
      </c>
      <c r="Y77" s="5">
        <f>+X77*0.0525</f>
        <v>16.8</v>
      </c>
    </row>
    <row r="78" spans="1:25" ht="12.75">
      <c r="A78" s="15" t="s">
        <v>36</v>
      </c>
      <c r="B78" s="1" t="s">
        <v>27</v>
      </c>
      <c r="C78" s="124">
        <v>121</v>
      </c>
      <c r="D78" s="128"/>
      <c r="E78" s="14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>
        <v>121</v>
      </c>
      <c r="V78" s="13"/>
      <c r="X78" s="9">
        <f t="shared" si="19"/>
        <v>121</v>
      </c>
      <c r="Y78" s="5">
        <f>+X78*0.0585</f>
        <v>7.0785</v>
      </c>
    </row>
    <row r="79" spans="1:25" ht="12.75">
      <c r="A79" s="15" t="s">
        <v>36</v>
      </c>
      <c r="B79" s="1" t="s">
        <v>28</v>
      </c>
      <c r="C79" s="124">
        <v>300</v>
      </c>
      <c r="D79" s="128"/>
      <c r="E79" s="14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300</v>
      </c>
      <c r="X79" s="9">
        <f t="shared" si="19"/>
        <v>300</v>
      </c>
      <c r="Y79" s="5">
        <f>+X79*0.0775</f>
        <v>23.25</v>
      </c>
    </row>
    <row r="80" spans="1:25" ht="12.75">
      <c r="A80" s="15" t="s">
        <v>36</v>
      </c>
      <c r="B80" s="1" t="s">
        <v>29</v>
      </c>
      <c r="C80" s="124">
        <v>17</v>
      </c>
      <c r="D80" s="128"/>
      <c r="E80" s="14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v>17</v>
      </c>
      <c r="X80" s="9">
        <f t="shared" si="19"/>
        <v>17</v>
      </c>
      <c r="Y80" s="5">
        <f>+X80*0.0625</f>
        <v>1.0625</v>
      </c>
    </row>
    <row r="81" spans="2:22" ht="12.75">
      <c r="B81" s="17" t="s">
        <v>60</v>
      </c>
      <c r="C81" s="32">
        <f>SUM(C67:C80)</f>
        <v>1891</v>
      </c>
      <c r="D81" s="128"/>
      <c r="E81" s="1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5" s="14" customFormat="1" ht="13.5" thickBot="1">
      <c r="A82" s="15" t="s">
        <v>39</v>
      </c>
      <c r="B82" s="14" t="s">
        <v>47</v>
      </c>
      <c r="C82" s="125" t="s">
        <v>45</v>
      </c>
      <c r="D82" s="89">
        <f aca="true" t="shared" si="20" ref="D82:R82">-SUM(D65:D81)+D60</f>
        <v>87.30779999999999</v>
      </c>
      <c r="E82" s="144">
        <f t="shared" si="20"/>
        <v>229.17180000000005</v>
      </c>
      <c r="F82" s="89">
        <f t="shared" si="20"/>
        <v>46.153626666666696</v>
      </c>
      <c r="G82" s="89">
        <f t="shared" si="20"/>
        <v>41.60198980066667</v>
      </c>
      <c r="H82" s="89">
        <f t="shared" si="20"/>
        <v>37.356699452589666</v>
      </c>
      <c r="I82" s="89">
        <f t="shared" si="20"/>
        <v>-299.6998617271379</v>
      </c>
      <c r="J82" s="89">
        <f t="shared" si="20"/>
        <v>355.5356440239572</v>
      </c>
      <c r="K82" s="89">
        <f t="shared" si="20"/>
        <v>-49.92800046834441</v>
      </c>
      <c r="L82" s="89">
        <f t="shared" si="20"/>
        <v>-47.68690768328841</v>
      </c>
      <c r="M82" s="89">
        <f t="shared" si="20"/>
        <v>12.292605989425226</v>
      </c>
      <c r="N82" s="89">
        <f t="shared" si="20"/>
        <v>-127.9056905049309</v>
      </c>
      <c r="O82" s="89">
        <f t="shared" si="20"/>
        <v>22.878189989521132</v>
      </c>
      <c r="P82" s="89">
        <f t="shared" si="20"/>
        <v>20.822389507242576</v>
      </c>
      <c r="Q82" s="89">
        <f t="shared" si="20"/>
        <v>-102.53644197102969</v>
      </c>
      <c r="R82" s="89">
        <f t="shared" si="20"/>
        <v>-132.0935589926914</v>
      </c>
      <c r="S82" s="89">
        <f>-SUM(S65:S81)+S60</f>
        <v>49.98942934985175</v>
      </c>
      <c r="T82" s="89">
        <f>-SUM(T65:T81)+T60</f>
        <v>268.81486594377634</v>
      </c>
      <c r="U82" s="89">
        <f>-SUM(U65:U81)+U60</f>
        <v>188.57196802678965</v>
      </c>
      <c r="V82" s="89">
        <f>-SUM(V65:V81)+V60</f>
        <v>62.43675792225508</v>
      </c>
      <c r="W82" s="32"/>
      <c r="X82" s="44">
        <f>SUM(X65:X81)</f>
        <v>1805</v>
      </c>
      <c r="Y82" s="44">
        <f>SUM(Y65:Y81)</f>
        <v>107.1448</v>
      </c>
    </row>
    <row r="83" spans="3:23" ht="14.25" thickBot="1" thickTop="1">
      <c r="C83" s="4"/>
      <c r="D83" s="128"/>
      <c r="E83" s="14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4"/>
    </row>
    <row r="84" spans="1:25" s="14" customFormat="1" ht="13.5" thickBot="1">
      <c r="A84" s="87" t="s">
        <v>46</v>
      </c>
      <c r="B84" s="88" t="s">
        <v>19</v>
      </c>
      <c r="C84" s="126"/>
      <c r="D84" s="129">
        <f>+D82</f>
        <v>87.30779999999999</v>
      </c>
      <c r="E84" s="90">
        <f>+D84+E82</f>
        <v>316.4796</v>
      </c>
      <c r="F84" s="91">
        <f aca="true" t="shared" si="21" ref="F84:R84">+E84+F82</f>
        <v>362.6332266666667</v>
      </c>
      <c r="G84" s="91">
        <f t="shared" si="21"/>
        <v>404.2352164673334</v>
      </c>
      <c r="H84" s="91">
        <f t="shared" si="21"/>
        <v>441.59191591992305</v>
      </c>
      <c r="I84" s="91">
        <f t="shared" si="21"/>
        <v>141.89205419278517</v>
      </c>
      <c r="J84" s="91">
        <f t="shared" si="21"/>
        <v>497.4276982167424</v>
      </c>
      <c r="K84" s="91">
        <f t="shared" si="21"/>
        <v>447.499697748398</v>
      </c>
      <c r="L84" s="92">
        <f t="shared" si="21"/>
        <v>399.81279006510954</v>
      </c>
      <c r="M84" s="91">
        <f t="shared" si="21"/>
        <v>412.10539605453476</v>
      </c>
      <c r="N84" s="92">
        <f t="shared" si="21"/>
        <v>284.1997055496039</v>
      </c>
      <c r="O84" s="91">
        <f t="shared" si="21"/>
        <v>307.07789553912505</v>
      </c>
      <c r="P84" s="91">
        <f t="shared" si="21"/>
        <v>327.9002850463676</v>
      </c>
      <c r="Q84" s="91">
        <f t="shared" si="21"/>
        <v>225.36384307533794</v>
      </c>
      <c r="R84" s="92">
        <f t="shared" si="21"/>
        <v>93.27028408264653</v>
      </c>
      <c r="S84" s="110">
        <f>+R84+S82</f>
        <v>143.25971343249827</v>
      </c>
      <c r="T84" s="110">
        <f>+S84+T82</f>
        <v>412.07457937627464</v>
      </c>
      <c r="U84" s="110">
        <f>+T84+U82</f>
        <v>600.6465474030642</v>
      </c>
      <c r="V84" s="110">
        <f>+U84+V82</f>
        <v>663.0833053253193</v>
      </c>
      <c r="W84" s="32"/>
      <c r="X84" s="34"/>
      <c r="Y84" s="16"/>
    </row>
    <row r="85" spans="1:25" s="14" customFormat="1" ht="12.75">
      <c r="A85" s="15"/>
      <c r="D85" s="80"/>
      <c r="E85" s="33"/>
      <c r="F85" s="33"/>
      <c r="G85" s="33"/>
      <c r="H85" s="33"/>
      <c r="I85" s="33"/>
      <c r="J85" s="33"/>
      <c r="K85" s="33"/>
      <c r="L85" s="80"/>
      <c r="M85" s="33"/>
      <c r="N85" s="80"/>
      <c r="O85" s="33"/>
      <c r="P85" s="33"/>
      <c r="Q85" s="33"/>
      <c r="R85" s="33"/>
      <c r="S85" s="33"/>
      <c r="T85" s="33"/>
      <c r="U85" s="33"/>
      <c r="V85" s="33"/>
      <c r="W85" s="32"/>
      <c r="X85" s="34"/>
      <c r="Y85" s="16"/>
    </row>
    <row r="86" spans="1:25" s="14" customFormat="1" ht="12.75">
      <c r="A86" s="15"/>
      <c r="B86" s="93" t="s">
        <v>85</v>
      </c>
      <c r="C86" s="94"/>
      <c r="D86" s="95"/>
      <c r="E86" s="95">
        <f>+((+G95+G96+G97)/4)</f>
        <v>5.584875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6"/>
      <c r="S86" s="111"/>
      <c r="T86" s="111"/>
      <c r="U86" s="111"/>
      <c r="V86" s="111"/>
      <c r="W86" s="32"/>
      <c r="X86" s="34"/>
      <c r="Y86" s="16"/>
    </row>
    <row r="87" spans="1:25" s="14" customFormat="1" ht="12.75">
      <c r="A87" s="15"/>
      <c r="D87" s="80"/>
      <c r="E87" s="33"/>
      <c r="F87" s="33"/>
      <c r="G87" s="33"/>
      <c r="H87" s="33"/>
      <c r="I87" s="33"/>
      <c r="J87" s="33"/>
      <c r="K87" s="33"/>
      <c r="L87" s="80"/>
      <c r="M87" s="33"/>
      <c r="N87" s="80"/>
      <c r="O87" s="33"/>
      <c r="P87" s="33"/>
      <c r="Q87" s="33"/>
      <c r="R87" s="33"/>
      <c r="S87" s="33"/>
      <c r="T87" s="33"/>
      <c r="U87" s="33"/>
      <c r="V87" s="33"/>
      <c r="W87" s="32"/>
      <c r="X87" s="34"/>
      <c r="Y87" s="16"/>
    </row>
    <row r="88" ht="12.75">
      <c r="B88" s="42" t="s">
        <v>44</v>
      </c>
    </row>
    <row r="89" spans="2:21" ht="12.75">
      <c r="B89" s="42"/>
      <c r="U89" t="s">
        <v>76</v>
      </c>
    </row>
    <row r="90" spans="2:24" ht="12.75">
      <c r="B90" s="42"/>
      <c r="U90" t="s">
        <v>77</v>
      </c>
      <c r="W90" t="s">
        <v>78</v>
      </c>
      <c r="X90" s="9">
        <v>-84</v>
      </c>
    </row>
    <row r="91" spans="2:24" ht="12.75">
      <c r="B91" s="42"/>
      <c r="D91" s="64"/>
      <c r="E91" s="65" t="s">
        <v>57</v>
      </c>
      <c r="F91" s="66"/>
      <c r="G91" s="67"/>
      <c r="W91" t="s">
        <v>79</v>
      </c>
      <c r="X91" s="9">
        <v>-239</v>
      </c>
    </row>
    <row r="92" spans="2:24" ht="12.75">
      <c r="B92" s="42"/>
      <c r="D92" s="47" t="s">
        <v>20</v>
      </c>
      <c r="E92" s="63" t="s">
        <v>75</v>
      </c>
      <c r="F92" s="48" t="s">
        <v>74</v>
      </c>
      <c r="G92" s="48" t="s">
        <v>15</v>
      </c>
      <c r="U92" t="s">
        <v>81</v>
      </c>
      <c r="X92" s="9">
        <v>-184</v>
      </c>
    </row>
    <row r="93" spans="2:24" ht="13.5" thickBot="1">
      <c r="B93" s="42"/>
      <c r="C93" s="6" t="s">
        <v>13</v>
      </c>
      <c r="D93" s="6">
        <v>1</v>
      </c>
      <c r="E93" s="13">
        <v>251.1</v>
      </c>
      <c r="F93" s="5">
        <v>10.045872</v>
      </c>
      <c r="G93" s="5">
        <f>10*25*0.0425</f>
        <v>10.625</v>
      </c>
      <c r="U93" t="s">
        <v>80</v>
      </c>
      <c r="X93" s="68">
        <f>SUM(X82:X92)</f>
        <v>1298</v>
      </c>
    </row>
    <row r="94" spans="2:7" ht="13.5" thickTop="1">
      <c r="B94" s="42"/>
      <c r="C94" s="6" t="s">
        <v>34</v>
      </c>
      <c r="D94" s="6">
        <v>2</v>
      </c>
      <c r="E94" s="13">
        <v>151.6</v>
      </c>
      <c r="F94" s="5">
        <v>6.062128</v>
      </c>
      <c r="G94" s="5">
        <f>6*1.25</f>
        <v>7.5</v>
      </c>
    </row>
    <row r="95" spans="2:7" ht="13.5" thickBot="1">
      <c r="B95" s="42"/>
      <c r="C95" s="6" t="s">
        <v>35</v>
      </c>
      <c r="D95" s="6">
        <v>3</v>
      </c>
      <c r="E95" s="13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36</v>
      </c>
      <c r="D96" s="6">
        <v>5</v>
      </c>
      <c r="E96" s="13">
        <f>123</f>
        <v>123</v>
      </c>
      <c r="F96" s="5">
        <v>4.91992</v>
      </c>
      <c r="G96" s="5">
        <f>123*0.069</f>
        <v>8.487</v>
      </c>
      <c r="S96" s="17" t="s">
        <v>59</v>
      </c>
      <c r="T96" s="77" t="s">
        <v>52</v>
      </c>
      <c r="U96" t="s">
        <v>51</v>
      </c>
      <c r="V96" s="13">
        <f>(+$E$23+$F$23)*2*0+147.2*4</f>
        <v>588.8</v>
      </c>
      <c r="W96" s="15" t="s">
        <v>58</v>
      </c>
      <c r="X96" s="52">
        <f>+X93/+(V96)</f>
        <v>2.2044836956521743</v>
      </c>
    </row>
    <row r="97" spans="4:24" ht="12.75">
      <c r="D97" s="6">
        <v>7</v>
      </c>
      <c r="E97" s="13">
        <v>2.9</v>
      </c>
      <c r="F97" s="5">
        <v>0.383333</v>
      </c>
      <c r="G97" s="5">
        <f>3*0.05</f>
        <v>0.15000000000000002</v>
      </c>
      <c r="S97" s="1"/>
      <c r="T97" s="1"/>
      <c r="X97" s="43"/>
    </row>
    <row r="98" spans="5:25" ht="13.5" thickBot="1">
      <c r="E98" s="13"/>
      <c r="X98" s="1" t="s">
        <v>55</v>
      </c>
      <c r="Y98" s="45">
        <f>+Y82*0.5</f>
        <v>53.5724</v>
      </c>
    </row>
    <row r="99" spans="4:25" ht="18.75" thickBot="1">
      <c r="D99" s="14" t="s">
        <v>33</v>
      </c>
      <c r="E99" s="31">
        <f>SUM(E93:E98)</f>
        <v>731.6</v>
      </c>
      <c r="F99" s="46">
        <f>SUM(F93:F98)</f>
        <v>29.532153000000005</v>
      </c>
      <c r="G99" s="46">
        <f>SUM(G93:G98)</f>
        <v>40.4645</v>
      </c>
      <c r="S99" s="17" t="s">
        <v>53</v>
      </c>
      <c r="T99" s="77" t="s">
        <v>52</v>
      </c>
      <c r="U99" t="s">
        <v>51</v>
      </c>
      <c r="V99" s="13">
        <f>(+$E$23+$F$23)</f>
        <v>288.09566000000007</v>
      </c>
      <c r="X99" s="22" t="s">
        <v>54</v>
      </c>
      <c r="Y99" s="51">
        <f>+V99/Y98</f>
        <v>5.3776881379217665</v>
      </c>
    </row>
    <row r="100" ht="13.5" thickTop="1"/>
    <row r="101" ht="12.75">
      <c r="B101" s="62"/>
    </row>
    <row r="106" ht="12.75">
      <c r="L106" s="61"/>
    </row>
  </sheetData>
  <sheetProtection/>
  <printOptions/>
  <pageMargins left="0.75" right="0.75" top="1" bottom="1" header="0.5" footer="0.5"/>
  <pageSetup fitToHeight="2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GlenReal3D</cp:lastModifiedBy>
  <cp:lastPrinted>2012-05-23T23:35:49Z</cp:lastPrinted>
  <dcterms:created xsi:type="dcterms:W3CDTF">2011-12-06T13:40:04Z</dcterms:created>
  <dcterms:modified xsi:type="dcterms:W3CDTF">2012-06-18T03:50:17Z</dcterms:modified>
  <cp:category/>
  <cp:version/>
  <cp:contentType/>
  <cp:contentStatus/>
</cp:coreProperties>
</file>