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585" windowWidth="15480" windowHeight="6765" tabRatio="599" activeTab="0"/>
  </bookViews>
  <sheets>
    <sheet name="Portfolio Performance vs SPY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JJun</author>
  </authors>
  <commentList>
    <comment ref="D2" authorId="0">
      <text>
        <r>
          <rPr>
            <b/>
            <sz val="8"/>
            <rFont val="Tahoma"/>
            <family val="2"/>
          </rPr>
          <t>JJun: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SPY is an index fund that matches the S&amp;P500</t>
        </r>
      </text>
    </comment>
    <comment ref="G2" authorId="0">
      <text>
        <r>
          <rPr>
            <b/>
            <sz val="9"/>
            <rFont val="Tahoma"/>
            <family val="2"/>
          </rPr>
          <t>JJun:
Due to yahoo layout, price is retrieved via two methods. As long as one shows, the values will all be updated properly</t>
        </r>
      </text>
    </comment>
    <comment ref="H2" authorId="0">
      <text>
        <r>
          <rPr>
            <b/>
            <sz val="9"/>
            <rFont val="Tahoma"/>
            <family val="2"/>
          </rPr>
          <t>JJun:
Due to yahoo layout, price is retrieved via two methods. As long as one shows, the values will all be updated properly</t>
        </r>
      </text>
    </comment>
  </commentList>
</comments>
</file>

<file path=xl/sharedStrings.xml><?xml version="1.0" encoding="utf-8"?>
<sst xmlns="http://schemas.openxmlformats.org/spreadsheetml/2006/main" count="132" uniqueCount="60">
  <si>
    <t>Evaluation date:</t>
  </si>
  <si>
    <t>Value of SPY on evaluation date:</t>
  </si>
  <si>
    <t>Stocks still held in portfolio</t>
  </si>
  <si>
    <t>Stock symbol</t>
  </si>
  <si>
    <t># of shares</t>
  </si>
  <si>
    <t>Purchase price</t>
  </si>
  <si>
    <t>Date of purchase</t>
  </si>
  <si>
    <t>Cost basis</t>
  </si>
  <si>
    <t>Market value</t>
  </si>
  <si>
    <t>SPY closing price on date of purchase</t>
  </si>
  <si>
    <t>Equivalent # of shares</t>
  </si>
  <si>
    <t>Totals</t>
  </si>
  <si>
    <t>Total</t>
  </si>
  <si>
    <t>Return</t>
  </si>
  <si>
    <t>% return</t>
  </si>
  <si>
    <t>Stocks in portfolio that have been sold</t>
  </si>
  <si>
    <t>Sale price</t>
  </si>
  <si>
    <t>Date of sale</t>
  </si>
  <si>
    <t>SPY closing price on date of sale</t>
  </si>
  <si>
    <t>(*) Ignores impact of taxes on dividend payouts</t>
  </si>
  <si>
    <t>(*) Ignores commission (assume transaction costs netted out between buying issues and buying SPY)</t>
  </si>
  <si>
    <t>Equivalent # of SPY shares</t>
  </si>
  <si>
    <t>Gain/Loss</t>
  </si>
  <si>
    <t>Percentage
Gain/Loss</t>
  </si>
  <si>
    <t>Current Share Price</t>
  </si>
  <si>
    <t>Commission (buy)</t>
  </si>
  <si>
    <t>Commission (buy+sell)</t>
  </si>
  <si>
    <t>Return</t>
  </si>
  <si>
    <t>Return vs Self</t>
  </si>
  <si>
    <t xml:space="preserve">Return of SPY as of </t>
  </si>
  <si>
    <t>Return vs Self</t>
  </si>
  <si>
    <t>CF</t>
  </si>
  <si>
    <t>DWSN</t>
  </si>
  <si>
    <t>KCI</t>
  </si>
  <si>
    <t>AOB</t>
  </si>
  <si>
    <t>VSEC</t>
  </si>
  <si>
    <t>LXU</t>
  </si>
  <si>
    <t>HURC</t>
  </si>
  <si>
    <t>ZUMZ</t>
  </si>
  <si>
    <t>SIGM</t>
  </si>
  <si>
    <t>TEAM</t>
  </si>
  <si>
    <t>TEX</t>
  </si>
  <si>
    <t>WAB</t>
  </si>
  <si>
    <t>KTII</t>
  </si>
  <si>
    <t>EBIX</t>
  </si>
  <si>
    <t>ANDE</t>
  </si>
  <si>
    <t>EZPW</t>
  </si>
  <si>
    <t>MIDD</t>
  </si>
  <si>
    <t>CTSH</t>
  </si>
  <si>
    <t xml:space="preserve">Total portfolio return as of </t>
  </si>
  <si>
    <t>Glen Bradford's Portfolio vs SP&amp;P 500</t>
  </si>
  <si>
    <t>History</t>
  </si>
  <si>
    <t>Prices</t>
  </si>
  <si>
    <t>Todays Value</t>
  </si>
  <si>
    <t>Tomorrows Value</t>
  </si>
  <si>
    <t>S&amp;P Return</t>
  </si>
  <si>
    <t>S&amp;P</t>
  </si>
  <si>
    <t>Mine</t>
  </si>
  <si>
    <t>NDAQ</t>
  </si>
  <si>
    <t>XIN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</si>
</sst>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0"/>
    <numFmt numFmtId="169" formatCode="&quot;$&quot;#,##0"/>
    <numFmt numFmtId="170" formatCode="[$-409]dddd\,\ mmmm\ dd\,\ yyyy"/>
    <numFmt numFmtId="171" formatCode="m&quot;월&quot;\ d&quot;일&quot;"/>
    <numFmt numFmtId="172" formatCode="[$-409]d\-mmm\-yy;@"/>
    <numFmt numFmtId="173" formatCode="_(&quot;$&quot;* #,##0.000_);_(&quot;$&quot;* \(#,##0.000\);_(&quot;$&quot;* &quot;-&quot;???_);_(@_)"/>
  </numFmts>
  <fonts count="33"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rebuchet MS"/>
      <family val="2"/>
    </font>
    <font>
      <b/>
      <sz val="10"/>
      <name val="Trebuchet MS"/>
      <family val="2"/>
    </font>
    <font>
      <sz val="10"/>
      <color indexed="48"/>
      <name val="Trebuchet MS"/>
      <family val="2"/>
    </font>
    <font>
      <b/>
      <sz val="12"/>
      <name val="Trebuchet MS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8"/>
      <color indexed="56"/>
      <name val="맑은 고딕"/>
      <family val="3"/>
    </font>
    <font>
      <b/>
      <sz val="10"/>
      <color indexed="8"/>
      <name val="Trebuchet MS"/>
      <family val="2"/>
    </font>
    <font>
      <sz val="10"/>
      <color indexed="10"/>
      <name val="Trebuchet MS"/>
      <family val="2"/>
    </font>
    <font>
      <sz val="10"/>
      <color indexed="30"/>
      <name val="Trebuchet MS"/>
      <family val="2"/>
    </font>
    <font>
      <b/>
      <sz val="20"/>
      <color indexed="9"/>
      <name val="Trebuchet MS"/>
      <family val="2"/>
    </font>
    <font>
      <b/>
      <sz val="9"/>
      <name val="Tahoma"/>
      <family val="2"/>
    </font>
    <font>
      <sz val="12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0" borderId="1" applyNumberFormat="0" applyAlignment="0" applyProtection="0"/>
    <xf numFmtId="0" fontId="11" fillId="3" borderId="0" applyNumberFormat="0" applyBorder="0" applyAlignment="0" applyProtection="0"/>
    <xf numFmtId="0" fontId="0" fillId="21" borderId="2" applyNumberFormat="0" applyFont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3" borderId="3" applyNumberFormat="0" applyAlignment="0" applyProtection="0"/>
    <xf numFmtId="0" fontId="20" fillId="0" borderId="4" applyNumberFormat="0" applyFill="0" applyAlignment="0" applyProtection="0"/>
    <xf numFmtId="0" fontId="24" fillId="0" borderId="5" applyNumberFormat="0" applyFill="0" applyAlignment="0" applyProtection="0"/>
    <xf numFmtId="0" fontId="19" fillId="7" borderId="1" applyNumberFormat="0" applyAlignment="0" applyProtection="0"/>
    <xf numFmtId="0" fontId="2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20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5" fontId="2" fillId="20" borderId="10" xfId="0" applyNumberFormat="1" applyFont="1" applyFill="1" applyBorder="1" applyAlignment="1">
      <alignment/>
    </xf>
    <xf numFmtId="5" fontId="2" fillId="20" borderId="11" xfId="0" applyNumberFormat="1" applyFont="1" applyFill="1" applyBorder="1" applyAlignment="1">
      <alignment/>
    </xf>
    <xf numFmtId="10" fontId="2" fillId="20" borderId="12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44" fontId="5" fillId="0" borderId="13" xfId="0" applyNumberFormat="1" applyFont="1" applyBorder="1" applyAlignment="1">
      <alignment/>
    </xf>
    <xf numFmtId="44" fontId="5" fillId="0" borderId="14" xfId="0" applyNumberFormat="1" applyFont="1" applyBorder="1" applyAlignment="1">
      <alignment/>
    </xf>
    <xf numFmtId="44" fontId="2" fillId="20" borderId="15" xfId="0" applyNumberFormat="1" applyFont="1" applyFill="1" applyBorder="1" applyAlignment="1">
      <alignment/>
    </xf>
    <xf numFmtId="44" fontId="2" fillId="20" borderId="14" xfId="0" applyNumberFormat="1" applyFont="1" applyFill="1" applyBorder="1" applyAlignment="1">
      <alignment/>
    </xf>
    <xf numFmtId="168" fontId="2" fillId="20" borderId="13" xfId="0" applyNumberFormat="1" applyFont="1" applyFill="1" applyBorder="1" applyAlignment="1">
      <alignment/>
    </xf>
    <xf numFmtId="168" fontId="2" fillId="20" borderId="14" xfId="0" applyNumberFormat="1" applyFont="1" applyFill="1" applyBorder="1" applyAlignment="1">
      <alignment/>
    </xf>
    <xf numFmtId="168" fontId="2" fillId="20" borderId="16" xfId="0" applyNumberFormat="1" applyFont="1" applyFill="1" applyBorder="1" applyAlignment="1">
      <alignment/>
    </xf>
    <xf numFmtId="44" fontId="5" fillId="0" borderId="13" xfId="0" applyNumberFormat="1" applyFont="1" applyBorder="1" applyAlignment="1">
      <alignment horizontal="center"/>
    </xf>
    <xf numFmtId="44" fontId="5" fillId="0" borderId="14" xfId="0" applyNumberFormat="1" applyFont="1" applyBorder="1" applyAlignment="1">
      <alignment horizontal="center"/>
    </xf>
    <xf numFmtId="44" fontId="5" fillId="0" borderId="16" xfId="0" applyNumberFormat="1" applyFont="1" applyBorder="1" applyAlignment="1">
      <alignment horizontal="center"/>
    </xf>
    <xf numFmtId="5" fontId="2" fillId="0" borderId="0" xfId="0" applyNumberFormat="1" applyFont="1" applyFill="1" applyBorder="1" applyAlignment="1">
      <alignment/>
    </xf>
    <xf numFmtId="5" fontId="2" fillId="20" borderId="15" xfId="0" applyNumberFormat="1" applyFont="1" applyFill="1" applyBorder="1" applyAlignment="1">
      <alignment horizontal="center"/>
    </xf>
    <xf numFmtId="168" fontId="2" fillId="20" borderId="15" xfId="0" applyNumberFormat="1" applyFont="1" applyFill="1" applyBorder="1" applyAlignment="1">
      <alignment horizontal="center"/>
    </xf>
    <xf numFmtId="5" fontId="2" fillId="20" borderId="0" xfId="0" applyNumberFormat="1" applyFont="1" applyFill="1" applyBorder="1" applyAlignment="1">
      <alignment horizontal="center"/>
    </xf>
    <xf numFmtId="168" fontId="2" fillId="20" borderId="0" xfId="0" applyNumberFormat="1" applyFont="1" applyFill="1" applyBorder="1" applyAlignment="1">
      <alignment horizontal="center"/>
    </xf>
    <xf numFmtId="5" fontId="2" fillId="20" borderId="17" xfId="0" applyNumberFormat="1" applyFont="1" applyFill="1" applyBorder="1" applyAlignment="1">
      <alignment horizontal="center"/>
    </xf>
    <xf numFmtId="168" fontId="2" fillId="20" borderId="17" xfId="0" applyNumberFormat="1" applyFont="1" applyFill="1" applyBorder="1" applyAlignment="1">
      <alignment horizontal="center"/>
    </xf>
    <xf numFmtId="42" fontId="2" fillId="20" borderId="15" xfId="0" applyNumberFormat="1" applyFont="1" applyFill="1" applyBorder="1" applyAlignment="1">
      <alignment horizontal="center"/>
    </xf>
    <xf numFmtId="42" fontId="2" fillId="20" borderId="0" xfId="0" applyNumberFormat="1" applyFont="1" applyFill="1" applyBorder="1" applyAlignment="1">
      <alignment horizontal="center"/>
    </xf>
    <xf numFmtId="42" fontId="2" fillId="20" borderId="17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2" fontId="2" fillId="20" borderId="10" xfId="0" applyNumberFormat="1" applyFont="1" applyFill="1" applyBorder="1" applyAlignment="1">
      <alignment/>
    </xf>
    <xf numFmtId="42" fontId="2" fillId="20" borderId="20" xfId="0" applyNumberFormat="1" applyFont="1" applyFill="1" applyBorder="1" applyAlignment="1">
      <alignment/>
    </xf>
    <xf numFmtId="42" fontId="2" fillId="20" borderId="12" xfId="0" applyNumberFormat="1" applyFont="1" applyFill="1" applyBorder="1" applyAlignment="1">
      <alignment/>
    </xf>
    <xf numFmtId="42" fontId="2" fillId="20" borderId="13" xfId="0" applyNumberFormat="1" applyFont="1" applyFill="1" applyBorder="1" applyAlignment="1">
      <alignment/>
    </xf>
    <xf numFmtId="42" fontId="2" fillId="20" borderId="14" xfId="0" applyNumberFormat="1" applyFont="1" applyFill="1" applyBorder="1" applyAlignment="1">
      <alignment/>
    </xf>
    <xf numFmtId="42" fontId="2" fillId="20" borderId="16" xfId="0" applyNumberFormat="1" applyFont="1" applyFill="1" applyBorder="1" applyAlignment="1">
      <alignment/>
    </xf>
    <xf numFmtId="42" fontId="2" fillId="20" borderId="10" xfId="0" applyNumberFormat="1" applyFont="1" applyFill="1" applyBorder="1" applyAlignment="1">
      <alignment horizontal="center"/>
    </xf>
    <xf numFmtId="42" fontId="2" fillId="20" borderId="20" xfId="0" applyNumberFormat="1" applyFont="1" applyFill="1" applyBorder="1" applyAlignment="1">
      <alignment horizontal="center"/>
    </xf>
    <xf numFmtId="42" fontId="2" fillId="20" borderId="12" xfId="0" applyNumberFormat="1" applyFont="1" applyFill="1" applyBorder="1" applyAlignment="1">
      <alignment horizontal="center"/>
    </xf>
    <xf numFmtId="44" fontId="5" fillId="0" borderId="16" xfId="0" applyNumberFormat="1" applyFont="1" applyBorder="1" applyAlignment="1">
      <alignment/>
    </xf>
    <xf numFmtId="0" fontId="26" fillId="0" borderId="13" xfId="0" applyFont="1" applyBorder="1" applyAlignment="1">
      <alignment horizontal="center" vertical="center"/>
    </xf>
    <xf numFmtId="44" fontId="26" fillId="0" borderId="13" xfId="0" applyNumberFormat="1" applyFont="1" applyBorder="1" applyAlignment="1">
      <alignment/>
    </xf>
    <xf numFmtId="14" fontId="26" fillId="0" borderId="13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4" fontId="26" fillId="0" borderId="14" xfId="0" applyNumberFormat="1" applyFont="1" applyBorder="1" applyAlignment="1">
      <alignment/>
    </xf>
    <xf numFmtId="14" fontId="26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/>
    </xf>
    <xf numFmtId="44" fontId="26" fillId="0" borderId="16" xfId="0" applyNumberFormat="1" applyFont="1" applyBorder="1" applyAlignment="1">
      <alignment/>
    </xf>
    <xf numFmtId="0" fontId="26" fillId="0" borderId="16" xfId="0" applyFont="1" applyBorder="1" applyAlignment="1">
      <alignment horizontal="center"/>
    </xf>
    <xf numFmtId="44" fontId="26" fillId="0" borderId="13" xfId="0" applyNumberFormat="1" applyFont="1" applyBorder="1" applyAlignment="1">
      <alignment horizontal="center"/>
    </xf>
    <xf numFmtId="14" fontId="26" fillId="0" borderId="13" xfId="0" applyNumberFormat="1" applyFont="1" applyBorder="1" applyAlignment="1">
      <alignment horizontal="center"/>
    </xf>
    <xf numFmtId="44" fontId="26" fillId="0" borderId="14" xfId="0" applyNumberFormat="1" applyFont="1" applyBorder="1" applyAlignment="1">
      <alignment horizontal="center"/>
    </xf>
    <xf numFmtId="44" fontId="26" fillId="0" borderId="16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44" fontId="26" fillId="0" borderId="13" xfId="0" applyNumberFormat="1" applyFont="1" applyBorder="1" applyAlignment="1">
      <alignment horizontal="center" wrapText="1"/>
    </xf>
    <xf numFmtId="14" fontId="26" fillId="0" borderId="13" xfId="0" applyNumberFormat="1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4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72" fontId="6" fillId="0" borderId="0" xfId="0" applyNumberFormat="1" applyFont="1" applyAlignment="1">
      <alignment horizontal="left"/>
    </xf>
    <xf numFmtId="44" fontId="2" fillId="0" borderId="13" xfId="0" applyNumberFormat="1" applyFont="1" applyFill="1" applyBorder="1" applyAlignment="1">
      <alignment/>
    </xf>
    <xf numFmtId="44" fontId="2" fillId="0" borderId="14" xfId="0" applyNumberFormat="1" applyFont="1" applyFill="1" applyBorder="1" applyAlignment="1">
      <alignment/>
    </xf>
    <xf numFmtId="44" fontId="2" fillId="0" borderId="16" xfId="0" applyNumberFormat="1" applyFont="1" applyFill="1" applyBorder="1" applyAlignment="1">
      <alignment/>
    </xf>
    <xf numFmtId="10" fontId="2" fillId="0" borderId="15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10" fontId="2" fillId="0" borderId="13" xfId="0" applyNumberFormat="1" applyFont="1" applyFill="1" applyBorder="1" applyAlignment="1">
      <alignment horizontal="center"/>
    </xf>
    <xf numFmtId="10" fontId="2" fillId="0" borderId="14" xfId="0" applyNumberFormat="1" applyFont="1" applyFill="1" applyBorder="1" applyAlignment="1">
      <alignment horizontal="center"/>
    </xf>
    <xf numFmtId="10" fontId="2" fillId="0" borderId="16" xfId="0" applyNumberFormat="1" applyFont="1" applyFill="1" applyBorder="1" applyAlignment="1">
      <alignment horizontal="center"/>
    </xf>
    <xf numFmtId="5" fontId="2" fillId="0" borderId="21" xfId="0" applyNumberFormat="1" applyFont="1" applyFill="1" applyBorder="1" applyAlignment="1">
      <alignment/>
    </xf>
    <xf numFmtId="169" fontId="2" fillId="0" borderId="22" xfId="0" applyNumberFormat="1" applyFont="1" applyFill="1" applyBorder="1" applyAlignment="1">
      <alignment/>
    </xf>
    <xf numFmtId="10" fontId="2" fillId="0" borderId="13" xfId="0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/>
    </xf>
    <xf numFmtId="5" fontId="2" fillId="0" borderId="20" xfId="0" applyNumberFormat="1" applyFont="1" applyFill="1" applyBorder="1" applyAlignment="1">
      <alignment/>
    </xf>
    <xf numFmtId="169" fontId="2" fillId="0" borderId="20" xfId="0" applyNumberFormat="1" applyFont="1" applyFill="1" applyBorder="1" applyAlignment="1">
      <alignment/>
    </xf>
    <xf numFmtId="169" fontId="2" fillId="0" borderId="20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4" fontId="3" fillId="0" borderId="16" xfId="0" applyNumberFormat="1" applyFont="1" applyFill="1" applyBorder="1" applyAlignment="1">
      <alignment horizontal="right"/>
    </xf>
    <xf numFmtId="14" fontId="3" fillId="0" borderId="11" xfId="0" applyNumberFormat="1" applyFont="1" applyFill="1" applyBorder="1" applyAlignment="1">
      <alignment/>
    </xf>
    <xf numFmtId="44" fontId="2" fillId="23" borderId="11" xfId="0" applyNumberFormat="1" applyFont="1" applyFill="1" applyBorder="1" applyAlignment="1">
      <alignment/>
    </xf>
    <xf numFmtId="5" fontId="2" fillId="0" borderId="0" xfId="0" applyNumberFormat="1" applyFont="1" applyAlignment="1">
      <alignment/>
    </xf>
    <xf numFmtId="7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center" wrapText="1"/>
    </xf>
    <xf numFmtId="14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14" fontId="26" fillId="0" borderId="16" xfId="0" applyNumberFormat="1" applyFont="1" applyBorder="1" applyAlignment="1">
      <alignment horizontal="center"/>
    </xf>
    <xf numFmtId="44" fontId="2" fillId="20" borderId="1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0" fontId="4" fillId="9" borderId="30" xfId="0" applyFont="1" applyFill="1" applyBorder="1" applyAlignment="1">
      <alignment horizontal="left"/>
    </xf>
    <xf numFmtId="0" fontId="4" fillId="9" borderId="18" xfId="0" applyFont="1" applyFill="1" applyBorder="1" applyAlignment="1">
      <alignment horizontal="left"/>
    </xf>
    <xf numFmtId="0" fontId="4" fillId="9" borderId="19" xfId="0" applyFont="1" applyFill="1" applyBorder="1" applyAlignment="1">
      <alignment horizontal="left"/>
    </xf>
    <xf numFmtId="0" fontId="27" fillId="16" borderId="0" xfId="0" applyFont="1" applyFill="1" applyAlignment="1">
      <alignment horizontal="center"/>
    </xf>
    <xf numFmtId="0" fontId="4" fillId="10" borderId="30" xfId="0" applyFont="1" applyFill="1" applyBorder="1" applyAlignment="1">
      <alignment horizontal="left"/>
    </xf>
    <xf numFmtId="0" fontId="4" fillId="10" borderId="19" xfId="0" applyFont="1" applyFill="1" applyBorder="1" applyAlignment="1">
      <alignment horizontal="left"/>
    </xf>
    <xf numFmtId="0" fontId="4" fillId="10" borderId="22" xfId="0" applyFont="1" applyFill="1" applyBorder="1" applyAlignment="1">
      <alignment horizontal="right" vertical="center" wrapText="1"/>
    </xf>
    <xf numFmtId="0" fontId="4" fillId="10" borderId="12" xfId="0" applyFont="1" applyFill="1" applyBorder="1" applyAlignment="1">
      <alignment horizontal="right" vertical="center" wrapText="1"/>
    </xf>
    <xf numFmtId="0" fontId="4" fillId="2" borderId="3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" xfId="33"/>
    <cellStyle name="Comma [0]" xfId="34"/>
    <cellStyle name="Currency" xfId="35"/>
    <cellStyle name="Currency [0]" xfId="36"/>
    <cellStyle name="Percent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</cellStyles>
  <dxfs count="8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rgb="FF00B050"/>
      </font>
    </dxf>
    <dxf>
      <font>
        <b/>
        <i val="0"/>
        <color rgb="FFFF0000"/>
      </font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Percent Return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1"/>
          <c:order val="0"/>
          <c:tx>
            <c:strRef>
              <c:f>'Portfolio Performance vs SPY'!$F$204</c:f>
              <c:strCache>
                <c:ptCount val="1"/>
                <c:pt idx="0">
                  <c:v>Mine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movingAvg"/>
            <c:period val="5"/>
          </c:trendline>
          <c:val>
            <c:numRef>
              <c:f>'Portfolio Performance vs SPY'!$F$205:$F$231</c:f>
              <c:numCache>
                <c:ptCount val="27"/>
                <c:pt idx="0">
                  <c:v>100</c:v>
                </c:pt>
                <c:pt idx="1">
                  <c:v>104.32242990654206</c:v>
                </c:pt>
                <c:pt idx="2">
                  <c:v>102.75670094143288</c:v>
                </c:pt>
                <c:pt idx="3">
                  <c:v>103.54721556551078</c:v>
                </c:pt>
                <c:pt idx="4">
                  <c:v>103.25461324648724</c:v>
                </c:pt>
                <c:pt idx="5">
                  <c:v>107.01984469536526</c:v>
                </c:pt>
                <c:pt idx="6">
                  <c:v>110.282977454172</c:v>
                </c:pt>
                <c:pt idx="7">
                  <c:v>110.15944611298616</c:v>
                </c:pt>
                <c:pt idx="8">
                  <c:v>111.41549576749787</c:v>
                </c:pt>
                <c:pt idx="9">
                  <c:v>115.18855663340045</c:v>
                </c:pt>
                <c:pt idx="10">
                  <c:v>116.97291102831323</c:v>
                </c:pt>
                <c:pt idx="11">
                  <c:v>114.87567692139604</c:v>
                </c:pt>
                <c:pt idx="12">
                  <c:v>117.46577385249451</c:v>
                </c:pt>
                <c:pt idx="13">
                  <c:v>115.42333273142468</c:v>
                </c:pt>
                <c:pt idx="14">
                  <c:v>118.62438707333133</c:v>
                </c:pt>
                <c:pt idx="15">
                  <c:v>121.22812511782006</c:v>
                </c:pt>
                <c:pt idx="16">
                  <c:v>118.34283328485236</c:v>
                </c:pt>
                <c:pt idx="17">
                  <c:v>119.56285194360969</c:v>
                </c:pt>
                <c:pt idx="18">
                  <c:v>115.91986603564177</c:v>
                </c:pt>
                <c:pt idx="19">
                  <c:v>118.49717492447039</c:v>
                </c:pt>
                <c:pt idx="20">
                  <c:v>120.79483365004347</c:v>
                </c:pt>
                <c:pt idx="21">
                  <c:v>118.25539719986797</c:v>
                </c:pt>
                <c:pt idx="22">
                  <c:v>122.12165366745525</c:v>
                </c:pt>
                <c:pt idx="23">
                  <c:v>125.36128623239529</c:v>
                </c:pt>
                <c:pt idx="24">
                  <c:v>123.20164421346757</c:v>
                </c:pt>
                <c:pt idx="25">
                  <c:v>122.11338074608935</c:v>
                </c:pt>
                <c:pt idx="26">
                  <c:v>124.72699242939011</c:v>
                </c:pt>
              </c:numCache>
            </c:numRef>
          </c:val>
        </c:ser>
        <c:ser>
          <c:idx val="0"/>
          <c:order val="1"/>
          <c:tx>
            <c:v>S&amp;P500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movingAvg"/>
            <c:period val="5"/>
          </c:trendline>
          <c:val>
            <c:numRef>
              <c:f>'Portfolio Performance vs SPY'!$E$205:$E$231</c:f>
              <c:numCache/>
            </c:numRef>
          </c:val>
        </c:ser>
        <c:axId val="66754159"/>
        <c:axId val="63916520"/>
      </c:areaChart>
      <c:catAx>
        <c:axId val="6675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16520"/>
        <c:crosses val="autoZero"/>
        <c:auto val="1"/>
        <c:lblOffset val="100"/>
        <c:noMultiLvlLbl val="0"/>
      </c:catAx>
      <c:valAx>
        <c:axId val="63916520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Cumulative Percent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541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177</xdr:row>
      <xdr:rowOff>66675</xdr:rowOff>
    </xdr:from>
    <xdr:to>
      <xdr:col>12</xdr:col>
      <xdr:colOff>142875</xdr:colOff>
      <xdr:row>201</xdr:row>
      <xdr:rowOff>57150</xdr:rowOff>
    </xdr:to>
    <xdr:graphicFrame>
      <xdr:nvGraphicFramePr>
        <xdr:cNvPr id="1" name="Chart 5"/>
        <xdr:cNvGraphicFramePr/>
      </xdr:nvGraphicFramePr>
      <xdr:xfrm>
        <a:off x="3743325" y="33004125"/>
        <a:ext cx="7029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SMF%20Add-in\RCH_Stock_Market_Function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RCHGetElementNumber"/>
      <definedName name="RCHGetYahooHistory"/>
      <definedName name="RCHGetYahooQuote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4"/>
  <sheetViews>
    <sheetView showGridLines="0" tabSelected="1" zoomScale="80" zoomScaleNormal="80" zoomScalePageLayoutView="0" workbookViewId="0" topLeftCell="A204">
      <selection activeCell="E231" sqref="E231"/>
    </sheetView>
  </sheetViews>
  <sheetFormatPr defaultColWidth="9.140625" defaultRowHeight="12.75"/>
  <cols>
    <col min="1" max="1" width="13.00390625" style="1" customWidth="1"/>
    <col min="2" max="2" width="10.8515625" style="1" customWidth="1"/>
    <col min="3" max="3" width="13.00390625" style="1" customWidth="1"/>
    <col min="4" max="5" width="13.8515625" style="1" customWidth="1"/>
    <col min="6" max="9" width="13.00390625" style="1" customWidth="1"/>
    <col min="10" max="10" width="12.57421875" style="1" customWidth="1"/>
    <col min="11" max="11" width="14.7109375" style="1" customWidth="1"/>
    <col min="12" max="12" width="15.57421875" style="1" customWidth="1"/>
    <col min="13" max="13" width="15.421875" style="1" customWidth="1"/>
    <col min="14" max="14" width="13.421875" style="1" customWidth="1"/>
    <col min="15" max="15" width="13.00390625" style="1" customWidth="1"/>
    <col min="16" max="16" width="9.8515625" style="1" bestFit="1" customWidth="1"/>
    <col min="17" max="16384" width="9.140625" style="1" customWidth="1"/>
  </cols>
  <sheetData>
    <row r="1" spans="1:13" ht="27.75">
      <c r="A1" s="106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8" ht="15">
      <c r="A2" s="107" t="s">
        <v>0</v>
      </c>
      <c r="B2" s="108"/>
      <c r="C2" s="85">
        <f ca="1">TODAY()</f>
        <v>39675</v>
      </c>
      <c r="D2" s="109" t="s">
        <v>1</v>
      </c>
      <c r="E2" s="110"/>
      <c r="F2" s="84">
        <f>IF(G2=0,H2,G2)</f>
        <v>129.54</v>
      </c>
      <c r="G2" s="86">
        <f>[1]!RCHGetYahooQuotes("SPY","l1")</f>
        <v>129.54</v>
      </c>
      <c r="H2" s="86">
        <f>[1]!RCHGetYahooHistory("SPY",YEAR(C2),MONTH(C2),DAY(C2),YEAR(C2),MONTH(C2),DAY(C2),"w","a",0,0,0)</f>
      </c>
    </row>
    <row r="3" ht="15"/>
    <row r="4" spans="1:13" ht="15">
      <c r="A4" s="111" t="s">
        <v>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16" s="2" customFormat="1" ht="48" customHeight="1">
      <c r="A5" s="27" t="s">
        <v>3</v>
      </c>
      <c r="B5" s="27" t="s">
        <v>4</v>
      </c>
      <c r="C5" s="27" t="s">
        <v>5</v>
      </c>
      <c r="D5" s="27" t="s">
        <v>25</v>
      </c>
      <c r="E5" s="27" t="s">
        <v>6</v>
      </c>
      <c r="F5" s="28" t="s">
        <v>7</v>
      </c>
      <c r="G5" s="27" t="s">
        <v>24</v>
      </c>
      <c r="H5" s="27" t="s">
        <v>8</v>
      </c>
      <c r="I5" s="27" t="s">
        <v>22</v>
      </c>
      <c r="J5" s="28" t="s">
        <v>23</v>
      </c>
      <c r="K5" s="27" t="s">
        <v>9</v>
      </c>
      <c r="L5" s="29" t="s">
        <v>21</v>
      </c>
      <c r="M5" s="27" t="s">
        <v>8</v>
      </c>
      <c r="P5" s="89"/>
    </row>
    <row r="6" spans="1:13" ht="15">
      <c r="A6" s="42" t="s">
        <v>34</v>
      </c>
      <c r="B6" s="42">
        <v>100</v>
      </c>
      <c r="C6" s="43">
        <v>8.8899</v>
      </c>
      <c r="D6" s="43">
        <v>9.99</v>
      </c>
      <c r="E6" s="44">
        <v>39638</v>
      </c>
      <c r="F6" s="9">
        <f>B6*C6+D6</f>
        <v>898.9800000000001</v>
      </c>
      <c r="G6" s="7">
        <f>[1]!RCHGetElementNumber(A6,25)</f>
        <v>8.8</v>
      </c>
      <c r="H6" s="35">
        <f>G6*B6</f>
        <v>880.0000000000001</v>
      </c>
      <c r="I6" s="65">
        <f>H6-F6</f>
        <v>-18.980000000000018</v>
      </c>
      <c r="J6" s="68">
        <f>I6/F6</f>
        <v>-0.021112816747869825</v>
      </c>
      <c r="K6" s="14">
        <f>[1]!RCHGetYahooHistory("SPY",YEAR(E6),MONTH(E6),DAY(E6),YEAR(E6),MONTH(E6),DAY(E6),"w","a",0,0,0)</f>
        <v>124.79</v>
      </c>
      <c r="L6" s="11">
        <f aca="true" t="shared" si="0" ref="L6:L33">IF(AND(F6&gt;0,K6&gt;0),F6/K6,0)</f>
        <v>7.203942623607661</v>
      </c>
      <c r="M6" s="32">
        <f aca="true" t="shared" si="1" ref="M6:M33">L6*$F$2</f>
        <v>933.1987274621364</v>
      </c>
    </row>
    <row r="7" spans="1:13" ht="15">
      <c r="A7" s="45" t="s">
        <v>34</v>
      </c>
      <c r="B7" s="45">
        <v>50</v>
      </c>
      <c r="C7" s="46">
        <v>8.7994</v>
      </c>
      <c r="D7" s="46">
        <v>9.99</v>
      </c>
      <c r="E7" s="47">
        <v>39638</v>
      </c>
      <c r="F7" s="10">
        <f>B7*C7+D7</f>
        <v>449.96000000000004</v>
      </c>
      <c r="G7" s="8">
        <f>[1]!RCHGetElementNumber(A7,25)</f>
        <v>8.8</v>
      </c>
      <c r="H7" s="36">
        <f>G7*B7</f>
        <v>440.00000000000006</v>
      </c>
      <c r="I7" s="66">
        <f>H7-F7</f>
        <v>-9.95999999999998</v>
      </c>
      <c r="J7" s="69">
        <f>I7/F7</f>
        <v>-0.0221353009156369</v>
      </c>
      <c r="K7" s="15">
        <f>[1]!RCHGetYahooHistory("SPY",YEAR(E7),MONTH(E7),DAY(E7),YEAR(E7),MONTH(E7),DAY(E7),"w","a",0,0,0)</f>
        <v>124.79</v>
      </c>
      <c r="L7" s="12">
        <f t="shared" si="0"/>
        <v>3.605737639233913</v>
      </c>
      <c r="M7" s="33">
        <f t="shared" si="1"/>
        <v>467.08725378636103</v>
      </c>
    </row>
    <row r="8" spans="1:13" ht="15">
      <c r="A8" s="45" t="s">
        <v>36</v>
      </c>
      <c r="B8" s="45">
        <v>40</v>
      </c>
      <c r="C8" s="46">
        <v>17.1994</v>
      </c>
      <c r="D8" s="46">
        <v>9.99</v>
      </c>
      <c r="E8" s="47">
        <v>39639</v>
      </c>
      <c r="F8" s="10">
        <f aca="true" t="shared" si="2" ref="F8:F33">B8*C8+D8</f>
        <v>697.966</v>
      </c>
      <c r="G8" s="8">
        <f>[1]!RCHGetElementNumber(A8,25)</f>
        <v>23.18</v>
      </c>
      <c r="H8" s="36">
        <f>G8*B8</f>
        <v>927.2</v>
      </c>
      <c r="I8" s="66">
        <f>H8-F8</f>
        <v>229.23400000000004</v>
      </c>
      <c r="J8" s="69">
        <f>I8/F8</f>
        <v>0.3284314708739395</v>
      </c>
      <c r="K8" s="15">
        <f>[1]!RCHGetYahooHistory("SPY",YEAR(E8),MONTH(E8),DAY(E8),YEAR(E8),MONTH(E8),DAY(E8),"w","a",0,0,0)</f>
        <v>125.3</v>
      </c>
      <c r="L8" s="12">
        <f t="shared" si="0"/>
        <v>5.5703591380686355</v>
      </c>
      <c r="M8" s="33">
        <f t="shared" si="1"/>
        <v>721.584322745411</v>
      </c>
    </row>
    <row r="9" spans="1:13" ht="15">
      <c r="A9" s="45" t="s">
        <v>35</v>
      </c>
      <c r="B9" s="45">
        <v>100</v>
      </c>
      <c r="C9" s="46">
        <v>27.628</v>
      </c>
      <c r="D9" s="46">
        <v>9.99</v>
      </c>
      <c r="E9" s="47">
        <v>39643</v>
      </c>
      <c r="F9" s="10">
        <f t="shared" si="2"/>
        <v>2772.79</v>
      </c>
      <c r="G9" s="8">
        <f>[1]!RCHGetElementNumber(A9,25)</f>
        <v>38.3</v>
      </c>
      <c r="H9" s="36">
        <f>G9*B9</f>
        <v>3829.9999999999995</v>
      </c>
      <c r="I9" s="66">
        <f>H9-F9</f>
        <v>1057.2099999999996</v>
      </c>
      <c r="J9" s="69">
        <f>I9/F9</f>
        <v>0.3812802267751974</v>
      </c>
      <c r="K9" s="15">
        <f>[1]!RCHGetYahooHistory("SPY",YEAR(E9),MONTH(E9),DAY(E9),YEAR(E9),MONTH(E9),DAY(E9),"w","a",0,0,0)</f>
        <v>122.72</v>
      </c>
      <c r="L9" s="12">
        <f t="shared" si="0"/>
        <v>22.59444263363755</v>
      </c>
      <c r="M9" s="33">
        <f t="shared" si="1"/>
        <v>2926.884098761408</v>
      </c>
    </row>
    <row r="10" spans="1:13" ht="15">
      <c r="A10" s="45" t="s">
        <v>42</v>
      </c>
      <c r="B10" s="45">
        <v>66</v>
      </c>
      <c r="C10" s="46">
        <v>50.84</v>
      </c>
      <c r="D10" s="46">
        <v>9.99</v>
      </c>
      <c r="E10" s="47">
        <v>39643</v>
      </c>
      <c r="F10" s="10">
        <f t="shared" si="2"/>
        <v>3365.43</v>
      </c>
      <c r="G10" s="8">
        <f>[1]!RCHGetElementNumber(A10,25)</f>
        <v>57.14</v>
      </c>
      <c r="H10" s="36">
        <f aca="true" t="shared" si="3" ref="H10:H32">G10*B10</f>
        <v>3771.2400000000002</v>
      </c>
      <c r="I10" s="66">
        <f aca="true" t="shared" si="4" ref="I10:I32">H10-F10</f>
        <v>405.8100000000004</v>
      </c>
      <c r="J10" s="69">
        <f aca="true" t="shared" si="5" ref="J10:J32">I10/F10</f>
        <v>0.12058191672386602</v>
      </c>
      <c r="K10" s="15">
        <f>[1]!RCHGetYahooHistory("SPY",YEAR(E10),MONTH(E10),DAY(E10),YEAR(E10),MONTH(E10),DAY(E10),"w","a",0,0,0)</f>
        <v>122.72</v>
      </c>
      <c r="L10" s="12">
        <f t="shared" si="0"/>
        <v>27.42364732724902</v>
      </c>
      <c r="M10" s="33">
        <f t="shared" si="1"/>
        <v>3552.459274771838</v>
      </c>
    </row>
    <row r="11" spans="1:13" ht="15">
      <c r="A11" s="45" t="s">
        <v>35</v>
      </c>
      <c r="B11" s="45">
        <v>170</v>
      </c>
      <c r="C11" s="46">
        <v>27.6481</v>
      </c>
      <c r="D11" s="46">
        <v>9.99</v>
      </c>
      <c r="E11" s="47">
        <v>39643</v>
      </c>
      <c r="F11" s="10">
        <f t="shared" si="2"/>
        <v>4710.1669999999995</v>
      </c>
      <c r="G11" s="8">
        <f>[1]!RCHGetElementNumber(A11,25)</f>
        <v>38.3</v>
      </c>
      <c r="H11" s="36">
        <f t="shared" si="3"/>
        <v>6510.999999999999</v>
      </c>
      <c r="I11" s="66">
        <f t="shared" si="4"/>
        <v>1800.8329999999996</v>
      </c>
      <c r="J11" s="69">
        <f t="shared" si="5"/>
        <v>0.3823289068094613</v>
      </c>
      <c r="K11" s="15">
        <f>[1]!RCHGetYahooHistory("SPY",YEAR(E11),MONTH(E11),DAY(E11),YEAR(E11),MONTH(E11),DAY(E11),"w","a",0,0,0)</f>
        <v>122.72</v>
      </c>
      <c r="L11" s="12">
        <f t="shared" si="0"/>
        <v>38.381412972620595</v>
      </c>
      <c r="M11" s="33">
        <f t="shared" si="1"/>
        <v>4971.928236473272</v>
      </c>
    </row>
    <row r="12" spans="1:13" ht="15">
      <c r="A12" s="45" t="s">
        <v>34</v>
      </c>
      <c r="B12" s="45">
        <v>250</v>
      </c>
      <c r="C12" s="46">
        <v>8.8999</v>
      </c>
      <c r="D12" s="46">
        <v>9.99</v>
      </c>
      <c r="E12" s="47">
        <v>39643</v>
      </c>
      <c r="F12" s="10">
        <f t="shared" si="2"/>
        <v>2234.965</v>
      </c>
      <c r="G12" s="8">
        <f>[1]!RCHGetElementNumber(A12,25)</f>
        <v>8.8</v>
      </c>
      <c r="H12" s="36">
        <f t="shared" si="3"/>
        <v>2200</v>
      </c>
      <c r="I12" s="66">
        <f t="shared" si="4"/>
        <v>-34.965000000000146</v>
      </c>
      <c r="J12" s="69">
        <f t="shared" si="5"/>
        <v>-0.015644540294814525</v>
      </c>
      <c r="K12" s="15">
        <f>[1]!RCHGetYahooHistory("SPY",YEAR(E12),MONTH(E12),DAY(E12),YEAR(E12),MONTH(E12),DAY(E12),"w","a",0,0,0)</f>
        <v>122.72</v>
      </c>
      <c r="L12" s="12">
        <f t="shared" si="0"/>
        <v>18.21190514993481</v>
      </c>
      <c r="M12" s="33">
        <f t="shared" si="1"/>
        <v>2359.1701931225552</v>
      </c>
    </row>
    <row r="13" spans="1:13" ht="15">
      <c r="A13" s="45" t="s">
        <v>37</v>
      </c>
      <c r="B13" s="45">
        <v>100</v>
      </c>
      <c r="C13" s="46">
        <v>24.3299</v>
      </c>
      <c r="D13" s="46">
        <v>9.99</v>
      </c>
      <c r="E13" s="47">
        <v>39643</v>
      </c>
      <c r="F13" s="10">
        <f t="shared" si="2"/>
        <v>2442.9799999999996</v>
      </c>
      <c r="G13" s="8">
        <f>[1]!RCHGetElementNumber(A13,25)</f>
        <v>35.48</v>
      </c>
      <c r="H13" s="36">
        <f t="shared" si="3"/>
        <v>3547.9999999999995</v>
      </c>
      <c r="I13" s="66">
        <f t="shared" si="4"/>
        <v>1105.02</v>
      </c>
      <c r="J13" s="69">
        <f t="shared" si="5"/>
        <v>0.45232461993139533</v>
      </c>
      <c r="K13" s="15">
        <f>[1]!RCHGetYahooHistory("SPY",YEAR(E13),MONTH(E13),DAY(E13),YEAR(E13),MONTH(E13),DAY(E13),"w","a",0,0,0)</f>
        <v>122.72</v>
      </c>
      <c r="L13" s="12">
        <f t="shared" si="0"/>
        <v>19.906942633637545</v>
      </c>
      <c r="M13" s="33">
        <f t="shared" si="1"/>
        <v>2578.7453487614075</v>
      </c>
    </row>
    <row r="14" spans="1:13" ht="15">
      <c r="A14" s="45" t="s">
        <v>36</v>
      </c>
      <c r="B14" s="45">
        <v>100</v>
      </c>
      <c r="C14" s="46">
        <v>18.8199</v>
      </c>
      <c r="D14" s="46">
        <v>9.99</v>
      </c>
      <c r="E14" s="47">
        <v>39644</v>
      </c>
      <c r="F14" s="10">
        <f t="shared" si="2"/>
        <v>1891.98</v>
      </c>
      <c r="G14" s="8">
        <f>[1]!RCHGetElementNumber(A14,25)</f>
        <v>23.18</v>
      </c>
      <c r="H14" s="36">
        <f t="shared" si="3"/>
        <v>2318</v>
      </c>
      <c r="I14" s="66">
        <f t="shared" si="4"/>
        <v>426.02</v>
      </c>
      <c r="J14" s="69">
        <f t="shared" si="5"/>
        <v>0.22517151344094546</v>
      </c>
      <c r="K14" s="15">
        <f>[1]!RCHGetYahooHistory("SPY",YEAR(E14),MONTH(E14),DAY(E14),YEAR(E14),MONTH(E14),DAY(E14),"w","a",0,0,0)</f>
        <v>120.99</v>
      </c>
      <c r="L14" s="12">
        <f t="shared" si="0"/>
        <v>15.637490701710886</v>
      </c>
      <c r="M14" s="33">
        <f t="shared" si="1"/>
        <v>2025.6805454996281</v>
      </c>
    </row>
    <row r="15" spans="1:13" ht="15">
      <c r="A15" s="45" t="s">
        <v>37</v>
      </c>
      <c r="B15" s="45">
        <v>100</v>
      </c>
      <c r="C15" s="46">
        <v>26.05</v>
      </c>
      <c r="D15" s="46">
        <v>9.99</v>
      </c>
      <c r="E15" s="47">
        <v>39644</v>
      </c>
      <c r="F15" s="10">
        <f t="shared" si="2"/>
        <v>2614.99</v>
      </c>
      <c r="G15" s="8">
        <f>[1]!RCHGetElementNumber(A15,25)</f>
        <v>35.48</v>
      </c>
      <c r="H15" s="36">
        <f t="shared" si="3"/>
        <v>3547.9999999999995</v>
      </c>
      <c r="I15" s="66">
        <f t="shared" si="4"/>
        <v>933.0099999999998</v>
      </c>
      <c r="J15" s="69">
        <f t="shared" si="5"/>
        <v>0.3567929514070799</v>
      </c>
      <c r="K15" s="15">
        <f>[1]!RCHGetYahooHistory("SPY",YEAR(E15),MONTH(E15),DAY(E15),YEAR(E15),MONTH(E15),DAY(E15),"w","a",0,0,0)</f>
        <v>120.99</v>
      </c>
      <c r="L15" s="12">
        <f t="shared" si="0"/>
        <v>21.613273824283</v>
      </c>
      <c r="M15" s="33">
        <f t="shared" si="1"/>
        <v>2799.7834911976197</v>
      </c>
    </row>
    <row r="16" spans="1:13" ht="15">
      <c r="A16" s="45" t="s">
        <v>43</v>
      </c>
      <c r="B16" s="45">
        <v>15</v>
      </c>
      <c r="C16" s="46">
        <v>127.7294</v>
      </c>
      <c r="D16" s="46">
        <v>9.99</v>
      </c>
      <c r="E16" s="47">
        <v>39644</v>
      </c>
      <c r="F16" s="10">
        <f t="shared" si="2"/>
        <v>1925.931</v>
      </c>
      <c r="G16" s="8">
        <f>[1]!RCHGetElementNumber(A16,25)</f>
        <v>169</v>
      </c>
      <c r="H16" s="36">
        <f t="shared" si="3"/>
        <v>2535</v>
      </c>
      <c r="I16" s="66">
        <f t="shared" si="4"/>
        <v>609.069</v>
      </c>
      <c r="J16" s="69">
        <f t="shared" si="5"/>
        <v>0.3162465321966363</v>
      </c>
      <c r="K16" s="15">
        <f>[1]!RCHGetYahooHistory("SPY",YEAR(E16),MONTH(E16),DAY(E16),YEAR(E16),MONTH(E16),DAY(E16),"w","a",0,0,0)</f>
        <v>120.99</v>
      </c>
      <c r="L16" s="12">
        <f t="shared" si="0"/>
        <v>15.918100669476818</v>
      </c>
      <c r="M16" s="33">
        <f t="shared" si="1"/>
        <v>2062.030760724027</v>
      </c>
    </row>
    <row r="17" spans="1:13" ht="15">
      <c r="A17" s="45" t="s">
        <v>44</v>
      </c>
      <c r="B17" s="45">
        <v>25</v>
      </c>
      <c r="C17" s="46">
        <v>80.3194</v>
      </c>
      <c r="D17" s="46">
        <v>9.99</v>
      </c>
      <c r="E17" s="47">
        <v>39644</v>
      </c>
      <c r="F17" s="10">
        <f t="shared" si="2"/>
        <v>2017.9750000000001</v>
      </c>
      <c r="G17" s="8">
        <f>[1]!RCHGetElementNumber(A17,25)</f>
        <v>105</v>
      </c>
      <c r="H17" s="36">
        <f t="shared" si="3"/>
        <v>2625</v>
      </c>
      <c r="I17" s="66">
        <f t="shared" si="4"/>
        <v>607.0249999999999</v>
      </c>
      <c r="J17" s="69">
        <f t="shared" si="5"/>
        <v>0.30080897929855416</v>
      </c>
      <c r="K17" s="15">
        <f>[1]!RCHGetYahooHistory("SPY",YEAR(E17),MONTH(E17),DAY(E17),YEAR(E17),MONTH(E17),DAY(E17),"w","a",0,0,0)</f>
        <v>120.99</v>
      </c>
      <c r="L17" s="12">
        <f t="shared" si="0"/>
        <v>16.67885775683941</v>
      </c>
      <c r="M17" s="33">
        <f t="shared" si="1"/>
        <v>2160.579233820977</v>
      </c>
    </row>
    <row r="18" spans="1:13" ht="15">
      <c r="A18" s="45" t="s">
        <v>47</v>
      </c>
      <c r="B18" s="45">
        <v>45</v>
      </c>
      <c r="C18" s="46">
        <v>39.7394</v>
      </c>
      <c r="D18" s="46">
        <v>9.99</v>
      </c>
      <c r="E18" s="47">
        <v>39644</v>
      </c>
      <c r="F18" s="10">
        <f t="shared" si="2"/>
        <v>1798.2630000000001</v>
      </c>
      <c r="G18" s="8">
        <f>[1]!RCHGetElementNumber(A18,25)</f>
        <v>54.99</v>
      </c>
      <c r="H18" s="36">
        <f t="shared" si="3"/>
        <v>2474.55</v>
      </c>
      <c r="I18" s="66">
        <f t="shared" si="4"/>
        <v>676.287</v>
      </c>
      <c r="J18" s="69">
        <f t="shared" si="5"/>
        <v>0.3760779151881566</v>
      </c>
      <c r="K18" s="15">
        <f>[1]!RCHGetYahooHistory("SPY",YEAR(E18),MONTH(E18),DAY(E18),YEAR(E18),MONTH(E18),DAY(E18),"w","a",0,0,0)</f>
        <v>120.99</v>
      </c>
      <c r="L18" s="12">
        <f t="shared" si="0"/>
        <v>14.862906025291348</v>
      </c>
      <c r="M18" s="33">
        <f t="shared" si="1"/>
        <v>1925.340846516241</v>
      </c>
    </row>
    <row r="19" spans="1:13" ht="15">
      <c r="A19" s="45" t="s">
        <v>39</v>
      </c>
      <c r="B19" s="45">
        <v>100</v>
      </c>
      <c r="C19" s="46">
        <v>16.53399</v>
      </c>
      <c r="D19" s="46">
        <v>9.99</v>
      </c>
      <c r="E19" s="47">
        <v>39645</v>
      </c>
      <c r="F19" s="10">
        <f t="shared" si="2"/>
        <v>1663.389</v>
      </c>
      <c r="G19" s="8">
        <f>[1]!RCHGetElementNumber(A19,25)</f>
        <v>19.9</v>
      </c>
      <c r="H19" s="36">
        <f t="shared" si="3"/>
        <v>1989.9999999999998</v>
      </c>
      <c r="I19" s="66">
        <f t="shared" si="4"/>
        <v>326.6109999999999</v>
      </c>
      <c r="J19" s="69">
        <f t="shared" si="5"/>
        <v>0.19635274731286542</v>
      </c>
      <c r="K19" s="15">
        <f>[1]!RCHGetYahooHistory("SPY",YEAR(E19),MONTH(E19),DAY(E19),YEAR(E19),MONTH(E19),DAY(E19),"w","a",0,0,0)</f>
        <v>123.96</v>
      </c>
      <c r="L19" s="12">
        <f t="shared" si="0"/>
        <v>13.41875605033882</v>
      </c>
      <c r="M19" s="33">
        <f t="shared" si="1"/>
        <v>1738.2656587608906</v>
      </c>
    </row>
    <row r="20" spans="1:13" ht="15">
      <c r="A20" s="45" t="s">
        <v>39</v>
      </c>
      <c r="B20" s="45">
        <v>12</v>
      </c>
      <c r="C20" s="46">
        <v>15.88</v>
      </c>
      <c r="D20" s="46">
        <v>9.99</v>
      </c>
      <c r="E20" s="47">
        <v>39645</v>
      </c>
      <c r="F20" s="10">
        <f t="shared" si="2"/>
        <v>200.55</v>
      </c>
      <c r="G20" s="8">
        <f>[1]!RCHGetElementNumber(A20,25)</f>
        <v>19.9</v>
      </c>
      <c r="H20" s="36">
        <f t="shared" si="3"/>
        <v>238.79999999999998</v>
      </c>
      <c r="I20" s="66">
        <f t="shared" si="4"/>
        <v>38.24999999999997</v>
      </c>
      <c r="J20" s="69">
        <f t="shared" si="5"/>
        <v>0.19072550486163037</v>
      </c>
      <c r="K20" s="15">
        <f>[1]!RCHGetYahooHistory("SPY",YEAR(E20),MONTH(E20),DAY(E20),YEAR(E20),MONTH(E20),DAY(E20),"w","a",0,0,0)</f>
        <v>123.96</v>
      </c>
      <c r="L20" s="12">
        <f t="shared" si="0"/>
        <v>1.617860600193611</v>
      </c>
      <c r="M20" s="33">
        <f t="shared" si="1"/>
        <v>209.57766214908037</v>
      </c>
    </row>
    <row r="21" spans="1:13" ht="15">
      <c r="A21" s="45" t="s">
        <v>39</v>
      </c>
      <c r="B21" s="45">
        <v>213</v>
      </c>
      <c r="C21" s="46">
        <v>15.877</v>
      </c>
      <c r="D21" s="46">
        <v>9.99</v>
      </c>
      <c r="E21" s="47">
        <v>39645</v>
      </c>
      <c r="F21" s="10">
        <f t="shared" si="2"/>
        <v>3391.7909999999997</v>
      </c>
      <c r="G21" s="8">
        <f>[1]!RCHGetElementNumber(A21,25)</f>
        <v>19.9</v>
      </c>
      <c r="H21" s="36">
        <f t="shared" si="3"/>
        <v>4238.7</v>
      </c>
      <c r="I21" s="66">
        <f t="shared" si="4"/>
        <v>846.9090000000001</v>
      </c>
      <c r="J21" s="69">
        <f t="shared" si="5"/>
        <v>0.24969374587054455</v>
      </c>
      <c r="K21" s="15">
        <f>[1]!RCHGetYahooHistory("SPY",YEAR(E21),MONTH(E21),DAY(E21),YEAR(E21),MONTH(E21),DAY(E21),"w","a",0,0,0)</f>
        <v>123.96</v>
      </c>
      <c r="L21" s="12">
        <f t="shared" si="0"/>
        <v>27.36197967086157</v>
      </c>
      <c r="M21" s="33">
        <f t="shared" si="1"/>
        <v>3544.4708465634076</v>
      </c>
    </row>
    <row r="22" spans="1:13" ht="15">
      <c r="A22" s="45" t="s">
        <v>45</v>
      </c>
      <c r="B22" s="45">
        <v>60</v>
      </c>
      <c r="C22" s="46">
        <v>38.3794</v>
      </c>
      <c r="D22" s="46">
        <v>9.99</v>
      </c>
      <c r="E22" s="47">
        <v>39645</v>
      </c>
      <c r="F22" s="10">
        <f t="shared" si="2"/>
        <v>2312.7539999999995</v>
      </c>
      <c r="G22" s="8">
        <f>[1]!RCHGetElementNumber(A22,25)</f>
        <v>45.78</v>
      </c>
      <c r="H22" s="36">
        <f t="shared" si="3"/>
        <v>2746.8</v>
      </c>
      <c r="I22" s="66">
        <f t="shared" si="4"/>
        <v>434.04600000000073</v>
      </c>
      <c r="J22" s="69">
        <f t="shared" si="5"/>
        <v>0.187674953756431</v>
      </c>
      <c r="K22" s="15">
        <f>[1]!RCHGetYahooHistory("SPY",YEAR(E22),MONTH(E22),DAY(E22),YEAR(E22),MONTH(E22),DAY(E22),"w","a",0,0,0)</f>
        <v>123.96</v>
      </c>
      <c r="L22" s="12">
        <f t="shared" si="0"/>
        <v>18.657260406582765</v>
      </c>
      <c r="M22" s="33">
        <f t="shared" si="1"/>
        <v>2416.8615130687313</v>
      </c>
    </row>
    <row r="23" spans="1:13" ht="15">
      <c r="A23" s="45" t="s">
        <v>48</v>
      </c>
      <c r="B23" s="45">
        <v>59</v>
      </c>
      <c r="C23" s="46">
        <v>27.4394</v>
      </c>
      <c r="D23" s="46">
        <v>9.99</v>
      </c>
      <c r="E23" s="47">
        <v>39645</v>
      </c>
      <c r="F23" s="10">
        <f t="shared" si="2"/>
        <v>1628.9146</v>
      </c>
      <c r="G23" s="8">
        <f>[1]!RCHGetElementNumber(A23,25)</f>
        <v>31.06</v>
      </c>
      <c r="H23" s="36">
        <f t="shared" si="3"/>
        <v>1832.54</v>
      </c>
      <c r="I23" s="66">
        <f t="shared" si="4"/>
        <v>203.6253999999999</v>
      </c>
      <c r="J23" s="69">
        <f t="shared" si="5"/>
        <v>0.12500679900591466</v>
      </c>
      <c r="K23" s="15">
        <f>[1]!RCHGetYahooHistory("SPY",YEAR(E23),MONTH(E23),DAY(E23),YEAR(E23),MONTH(E23),DAY(E23),"w","a",0,0,0)</f>
        <v>123.96</v>
      </c>
      <c r="L23" s="12">
        <f t="shared" si="0"/>
        <v>13.14064698289771</v>
      </c>
      <c r="M23" s="33">
        <f t="shared" si="1"/>
        <v>1702.2394101645693</v>
      </c>
    </row>
    <row r="24" spans="1:13" ht="15">
      <c r="A24" s="45" t="s">
        <v>41</v>
      </c>
      <c r="B24" s="45">
        <v>64</v>
      </c>
      <c r="C24" s="46">
        <v>49.33</v>
      </c>
      <c r="D24" s="46">
        <v>9.99</v>
      </c>
      <c r="E24" s="47">
        <v>39646</v>
      </c>
      <c r="F24" s="10">
        <f t="shared" si="2"/>
        <v>3167.1099999999997</v>
      </c>
      <c r="G24" s="8">
        <f>[1]!RCHGetElementNumber(A24,25)</f>
        <v>50.47</v>
      </c>
      <c r="H24" s="36">
        <f t="shared" si="3"/>
        <v>3230.08</v>
      </c>
      <c r="I24" s="66">
        <f t="shared" si="4"/>
        <v>62.970000000000255</v>
      </c>
      <c r="J24" s="69">
        <f t="shared" si="5"/>
        <v>0.019882479610749314</v>
      </c>
      <c r="K24" s="15">
        <f>[1]!RCHGetYahooHistory("SPY",YEAR(E24),MONTH(E24),DAY(E24),YEAR(E24),MONTH(E24),DAY(E24),"w","a",0,0,0)</f>
        <v>125.2</v>
      </c>
      <c r="L24" s="12">
        <f t="shared" si="0"/>
        <v>25.29640575079872</v>
      </c>
      <c r="M24" s="33">
        <f t="shared" si="1"/>
        <v>3276.896400958466</v>
      </c>
    </row>
    <row r="25" spans="1:13" ht="15">
      <c r="A25" s="45" t="s">
        <v>39</v>
      </c>
      <c r="B25" s="45">
        <v>101</v>
      </c>
      <c r="C25" s="46">
        <v>17.2599</v>
      </c>
      <c r="D25" s="46">
        <v>9.99</v>
      </c>
      <c r="E25" s="47">
        <v>39647</v>
      </c>
      <c r="F25" s="10">
        <f t="shared" si="2"/>
        <v>1753.2398999999998</v>
      </c>
      <c r="G25" s="8">
        <f>[1]!RCHGetElementNumber(A25,25)</f>
        <v>19.9</v>
      </c>
      <c r="H25" s="36">
        <f>G25*B25</f>
        <v>2009.8999999999999</v>
      </c>
      <c r="I25" s="66">
        <f>H25-F25</f>
        <v>256.66010000000006</v>
      </c>
      <c r="J25" s="69">
        <f aca="true" t="shared" si="6" ref="J25:J30">I25/F25</f>
        <v>0.14639188852592283</v>
      </c>
      <c r="K25" s="15">
        <f>[1]!RCHGetYahooHistory("SPY",YEAR(E25),MONTH(E25),DAY(E25),YEAR(E25),MONTH(E25),DAY(E25),"w","a",0,0,0)</f>
        <v>125.98</v>
      </c>
      <c r="L25" s="12">
        <f aca="true" t="shared" si="7" ref="L25:L31">IF(AND(F25&gt;0,K25&gt;0),F25/K25,0)</f>
        <v>13.916811398634701</v>
      </c>
      <c r="M25" s="33">
        <f t="shared" si="1"/>
        <v>1802.783748579139</v>
      </c>
    </row>
    <row r="26" spans="1:13" ht="15">
      <c r="A26" s="45" t="s">
        <v>46</v>
      </c>
      <c r="B26" s="45">
        <v>100</v>
      </c>
      <c r="C26" s="46">
        <v>17.5399</v>
      </c>
      <c r="D26" s="46">
        <v>9.99</v>
      </c>
      <c r="E26" s="47">
        <v>39654</v>
      </c>
      <c r="F26" s="10">
        <f t="shared" si="2"/>
        <v>1763.98</v>
      </c>
      <c r="G26" s="8">
        <f>[1]!RCHGetElementNumber(A26,25)</f>
        <v>14.97</v>
      </c>
      <c r="H26" s="36">
        <f>G26*B26</f>
        <v>1497</v>
      </c>
      <c r="I26" s="66">
        <f>H26-F26</f>
        <v>-266.98</v>
      </c>
      <c r="J26" s="69">
        <f t="shared" si="6"/>
        <v>-0.15135092234605835</v>
      </c>
      <c r="K26" s="15">
        <f>[1]!RCHGetYahooHistory("SPY",YEAR(E26),MONTH(E26),DAY(E26),YEAR(E26),MONTH(E26),DAY(E26),"w","a",0,0,0)</f>
        <v>125.48</v>
      </c>
      <c r="L26" s="12">
        <f t="shared" si="7"/>
        <v>14.057857825948359</v>
      </c>
      <c r="M26" s="33">
        <f t="shared" si="1"/>
        <v>1821.0549027733502</v>
      </c>
    </row>
    <row r="27" spans="1:13" ht="15">
      <c r="A27" s="45" t="s">
        <v>33</v>
      </c>
      <c r="B27" s="45">
        <v>53</v>
      </c>
      <c r="C27" s="46">
        <v>37.5</v>
      </c>
      <c r="D27" s="46">
        <v>9.99</v>
      </c>
      <c r="E27" s="47">
        <v>39658</v>
      </c>
      <c r="F27" s="10">
        <f t="shared" si="2"/>
        <v>1997.49</v>
      </c>
      <c r="G27" s="8">
        <f>[1]!RCHGetElementNumber(A27,25)</f>
        <v>34.53</v>
      </c>
      <c r="H27" s="36">
        <f>G27*B27</f>
        <v>1830.0900000000001</v>
      </c>
      <c r="I27" s="66">
        <f>H27-F27</f>
        <v>-167.39999999999986</v>
      </c>
      <c r="J27" s="69">
        <f t="shared" si="6"/>
        <v>-0.08380517549524646</v>
      </c>
      <c r="K27" s="15">
        <f>[1]!RCHGetYahooHistory("SPY",YEAR(E27),MONTH(E27),DAY(E27),YEAR(E27),MONTH(E27),DAY(E27),"w","a",0,0,0)</f>
        <v>126.28</v>
      </c>
      <c r="L27" s="12">
        <f t="shared" si="7"/>
        <v>15.81794425087108</v>
      </c>
      <c r="M27" s="33">
        <f t="shared" si="1"/>
        <v>2049.0564982578394</v>
      </c>
    </row>
    <row r="28" spans="1:13" ht="15">
      <c r="A28" s="45" t="s">
        <v>44</v>
      </c>
      <c r="B28" s="45">
        <v>20</v>
      </c>
      <c r="C28" s="46">
        <v>100</v>
      </c>
      <c r="D28" s="46">
        <v>9.99</v>
      </c>
      <c r="E28" s="47">
        <v>39664</v>
      </c>
      <c r="F28" s="10">
        <f t="shared" si="2"/>
        <v>2009.99</v>
      </c>
      <c r="G28" s="8">
        <f>[1]!RCHGetElementNumber(A28,25)</f>
        <v>105</v>
      </c>
      <c r="H28" s="36">
        <f>G28*B28</f>
        <v>2100</v>
      </c>
      <c r="I28" s="66">
        <f>H28-F28</f>
        <v>90.00999999999999</v>
      </c>
      <c r="J28" s="69">
        <f t="shared" si="6"/>
        <v>0.04478131731998666</v>
      </c>
      <c r="K28" s="15">
        <f>[1]!RCHGetYahooHistory("SPY",YEAR(E28),MONTH(E28),DAY(E28),YEAR(E28),MONTH(E28),DAY(E28),"w","a",0,0,0)</f>
        <v>124.99</v>
      </c>
      <c r="L28" s="12">
        <f t="shared" si="7"/>
        <v>16.081206496519723</v>
      </c>
      <c r="M28" s="33">
        <f t="shared" si="1"/>
        <v>2083.1594895591647</v>
      </c>
    </row>
    <row r="29" spans="1:13" ht="15">
      <c r="A29" s="45" t="s">
        <v>36</v>
      </c>
      <c r="B29" s="45">
        <v>43</v>
      </c>
      <c r="C29" s="46">
        <v>20.9799</v>
      </c>
      <c r="D29" s="46">
        <v>9.99</v>
      </c>
      <c r="E29" s="47">
        <v>39666</v>
      </c>
      <c r="F29" s="10">
        <f t="shared" si="2"/>
        <v>912.1257</v>
      </c>
      <c r="G29" s="8">
        <f>[1]!RCHGetElementNumber(A29,25)</f>
        <v>23.18</v>
      </c>
      <c r="H29" s="36">
        <f>G29*B29</f>
        <v>996.74</v>
      </c>
      <c r="I29" s="66">
        <f>H29-F29</f>
        <v>84.61429999999996</v>
      </c>
      <c r="J29" s="69">
        <f t="shared" si="6"/>
        <v>0.09276605187201716</v>
      </c>
      <c r="K29" s="15">
        <f>[1]!RCHGetYahooHistory("SPY",YEAR(E29),MONTH(E29),DAY(E29),YEAR(E29),MONTH(E29),DAY(E29),"w","a",0,0,0)</f>
        <v>128.93</v>
      </c>
      <c r="L29" s="12">
        <f t="shared" si="7"/>
        <v>7.074580780268363</v>
      </c>
      <c r="M29" s="33">
        <f t="shared" si="1"/>
        <v>916.4411942759637</v>
      </c>
    </row>
    <row r="30" spans="1:13" ht="15">
      <c r="A30" s="45" t="s">
        <v>58</v>
      </c>
      <c r="B30" s="45">
        <v>82</v>
      </c>
      <c r="C30" s="46">
        <v>30.6494</v>
      </c>
      <c r="D30" s="46">
        <v>9.99</v>
      </c>
      <c r="E30" s="47">
        <v>39666</v>
      </c>
      <c r="F30" s="10">
        <f t="shared" si="2"/>
        <v>2523.2407999999996</v>
      </c>
      <c r="G30" s="8">
        <f>[1]!RCHGetElementNumber(A30,25)</f>
        <v>34.04</v>
      </c>
      <c r="H30" s="36">
        <f t="shared" si="3"/>
        <v>2791.2799999999997</v>
      </c>
      <c r="I30" s="66">
        <f t="shared" si="4"/>
        <v>268.03920000000016</v>
      </c>
      <c r="J30" s="69">
        <f t="shared" si="6"/>
        <v>0.1062281491326552</v>
      </c>
      <c r="K30" s="15">
        <f>[1]!RCHGetYahooHistory("SPY",YEAR(E30),MONTH(E30),DAY(E30),YEAR(E30),MONTH(E30),DAY(E30),"w","a",0,0,0)</f>
        <v>128.93</v>
      </c>
      <c r="L30" s="12">
        <f t="shared" si="7"/>
        <v>19.57062592104242</v>
      </c>
      <c r="M30" s="33">
        <f t="shared" si="1"/>
        <v>2535.178881811835</v>
      </c>
    </row>
    <row r="31" spans="1:13" ht="15">
      <c r="A31" s="45" t="s">
        <v>59</v>
      </c>
      <c r="B31" s="45">
        <v>430</v>
      </c>
      <c r="C31" s="46">
        <v>5.5907</v>
      </c>
      <c r="D31" s="46">
        <v>9.99</v>
      </c>
      <c r="E31" s="47">
        <v>39668</v>
      </c>
      <c r="F31" s="10">
        <f t="shared" si="2"/>
        <v>2413.991</v>
      </c>
      <c r="G31" s="8">
        <f>[1]!RCHGetElementNumber(A31,25)</f>
        <v>6.5</v>
      </c>
      <c r="H31" s="36">
        <f t="shared" si="3"/>
        <v>2795</v>
      </c>
      <c r="I31" s="66">
        <f t="shared" si="4"/>
        <v>381.009</v>
      </c>
      <c r="J31" s="69">
        <f t="shared" si="5"/>
        <v>0.15783364561011207</v>
      </c>
      <c r="K31" s="16">
        <v>128.933</v>
      </c>
      <c r="L31" s="12">
        <f t="shared" si="7"/>
        <v>18.722832789123032</v>
      </c>
      <c r="M31" s="33">
        <f t="shared" si="1"/>
        <v>2425.3557595029974</v>
      </c>
    </row>
    <row r="32" spans="1:13" ht="15">
      <c r="A32" s="45" t="s">
        <v>59</v>
      </c>
      <c r="B32" s="45">
        <v>100</v>
      </c>
      <c r="C32" s="46">
        <v>5.58</v>
      </c>
      <c r="D32" s="46">
        <v>9.99</v>
      </c>
      <c r="E32" s="47">
        <v>39668</v>
      </c>
      <c r="F32" s="10">
        <f t="shared" si="2"/>
        <v>567.99</v>
      </c>
      <c r="G32" s="8">
        <f>[1]!RCHGetElementNumber(A32,25)</f>
        <v>6.5</v>
      </c>
      <c r="H32" s="36">
        <f t="shared" si="3"/>
        <v>650</v>
      </c>
      <c r="I32" s="66">
        <f t="shared" si="4"/>
        <v>82.00999999999999</v>
      </c>
      <c r="J32" s="69">
        <f t="shared" si="5"/>
        <v>0.14438634483001458</v>
      </c>
      <c r="K32" s="16">
        <v>128.933</v>
      </c>
      <c r="L32" s="12"/>
      <c r="M32" s="33"/>
    </row>
    <row r="33" spans="1:13" ht="15">
      <c r="A33" s="49" t="s">
        <v>59</v>
      </c>
      <c r="B33" s="49">
        <v>100</v>
      </c>
      <c r="C33" s="50">
        <v>5.55</v>
      </c>
      <c r="D33" s="50">
        <v>9.99</v>
      </c>
      <c r="E33" s="100">
        <v>39668</v>
      </c>
      <c r="F33" s="101">
        <f t="shared" si="2"/>
        <v>564.99</v>
      </c>
      <c r="G33" s="41">
        <f>[1]!RCHGetElementNumber(A33,25)</f>
        <v>6.5</v>
      </c>
      <c r="H33" s="37">
        <f>G33*B33</f>
        <v>650</v>
      </c>
      <c r="I33" s="67">
        <f>H33-F33</f>
        <v>85.00999999999999</v>
      </c>
      <c r="J33" s="70">
        <f>I33/F33</f>
        <v>0.15046284005026636</v>
      </c>
      <c r="K33" s="16">
        <v>128.933</v>
      </c>
      <c r="L33" s="13">
        <f t="shared" si="0"/>
        <v>4.382043386875354</v>
      </c>
      <c r="M33" s="34">
        <f t="shared" si="1"/>
        <v>567.6499003358333</v>
      </c>
    </row>
    <row r="35" spans="5:13" ht="15">
      <c r="E35" s="81" t="s">
        <v>11</v>
      </c>
      <c r="F35" s="3">
        <f>SUM(F6:F33)</f>
        <v>54693.92299999999</v>
      </c>
      <c r="H35" s="4">
        <f>SUM(H6:H33)</f>
        <v>65204.920000000006</v>
      </c>
      <c r="I35" s="17"/>
      <c r="J35" s="17"/>
      <c r="L35" s="81" t="s">
        <v>12</v>
      </c>
      <c r="M35" s="3">
        <f>SUM(M6:M33)</f>
        <v>56573.464200404145</v>
      </c>
    </row>
    <row r="36" spans="5:13" ht="15">
      <c r="E36" s="82" t="s">
        <v>27</v>
      </c>
      <c r="F36" s="78">
        <f>H35-F35</f>
        <v>10510.997000000018</v>
      </c>
      <c r="L36" s="82" t="s">
        <v>28</v>
      </c>
      <c r="M36" s="79">
        <f>M35-F35</f>
        <v>1879.5412004041573</v>
      </c>
    </row>
    <row r="37" spans="5:13" ht="15">
      <c r="E37" s="83" t="s">
        <v>14</v>
      </c>
      <c r="F37" s="5">
        <f>F36/F35</f>
        <v>0.19217851679792688</v>
      </c>
      <c r="L37" s="83" t="s">
        <v>14</v>
      </c>
      <c r="M37" s="5">
        <f>M36/F35</f>
        <v>0.034364717272230734</v>
      </c>
    </row>
    <row r="38" spans="6:15" ht="15">
      <c r="F38" s="6"/>
      <c r="O38" s="6"/>
    </row>
    <row r="39" spans="1:15" ht="15">
      <c r="A39" s="103" t="s">
        <v>15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5"/>
    </row>
    <row r="40" spans="1:15" s="2" customFormat="1" ht="51" customHeight="1">
      <c r="A40" s="30" t="s">
        <v>3</v>
      </c>
      <c r="B40" s="30" t="s">
        <v>4</v>
      </c>
      <c r="C40" s="30" t="s">
        <v>5</v>
      </c>
      <c r="D40" s="30" t="s">
        <v>26</v>
      </c>
      <c r="E40" s="30" t="s">
        <v>6</v>
      </c>
      <c r="F40" s="31" t="s">
        <v>7</v>
      </c>
      <c r="G40" s="30" t="s">
        <v>16</v>
      </c>
      <c r="H40" s="30" t="s">
        <v>17</v>
      </c>
      <c r="I40" s="27" t="s">
        <v>8</v>
      </c>
      <c r="J40" s="27" t="s">
        <v>22</v>
      </c>
      <c r="K40" s="27" t="s">
        <v>23</v>
      </c>
      <c r="L40" s="30" t="s">
        <v>9</v>
      </c>
      <c r="M40" s="30" t="s">
        <v>18</v>
      </c>
      <c r="N40" s="29" t="s">
        <v>10</v>
      </c>
      <c r="O40" s="30" t="s">
        <v>8</v>
      </c>
    </row>
    <row r="41" spans="1:15" s="2" customFormat="1" ht="15">
      <c r="A41" s="56" t="s">
        <v>31</v>
      </c>
      <c r="B41" s="56">
        <v>20</v>
      </c>
      <c r="C41" s="57">
        <v>162.289</v>
      </c>
      <c r="D41" s="57">
        <f aca="true" t="shared" si="8" ref="D41:D48">9.99*2</f>
        <v>19.98</v>
      </c>
      <c r="E41" s="58">
        <v>39643</v>
      </c>
      <c r="F41" s="18">
        <f>B41*C41+D41</f>
        <v>3265.7599999999998</v>
      </c>
      <c r="G41" s="52">
        <v>158.26</v>
      </c>
      <c r="H41" s="53">
        <v>39645</v>
      </c>
      <c r="I41" s="24">
        <f aca="true" t="shared" si="9" ref="I41:I64">G41*B41</f>
        <v>3165.2</v>
      </c>
      <c r="J41" s="65">
        <f>I41-F41</f>
        <v>-100.55999999999995</v>
      </c>
      <c r="K41" s="71">
        <f>J41/F41</f>
        <v>-0.030792219881436465</v>
      </c>
      <c r="L41" s="52">
        <f>[1]!RCHGetYahooHistory("SPY",YEAR(E41),MONTH(E41),DAY(E41),YEAR(E41),MONTH(E41),DAY(E41),"w","a",0,0,0)</f>
        <v>122.72</v>
      </c>
      <c r="M41" s="52">
        <f>[1]!RCHGetYahooHistory("SPY",YEAR(H41),MONTH(H41),DAY(H41),YEAR(H41),MONTH(H41),DAY(H41),"w","a",0,0,0)</f>
        <v>123.96</v>
      </c>
      <c r="N41" s="19">
        <f aca="true" t="shared" si="10" ref="N41:N48">IF(AND(F41&gt;0,L41&gt;0),F41/L41,0)</f>
        <v>26.61147327249022</v>
      </c>
      <c r="O41" s="38">
        <f aca="true" t="shared" si="11" ref="O41:O48">N41*M41</f>
        <v>3298.758226857887</v>
      </c>
    </row>
    <row r="42" spans="1:15" s="2" customFormat="1" ht="15">
      <c r="A42" s="59" t="s">
        <v>32</v>
      </c>
      <c r="B42" s="59">
        <v>35</v>
      </c>
      <c r="C42" s="60">
        <v>54.6594</v>
      </c>
      <c r="D42" s="60">
        <f t="shared" si="8"/>
        <v>19.98</v>
      </c>
      <c r="E42" s="61">
        <v>39645</v>
      </c>
      <c r="F42" s="20">
        <f>B42*C42+D42</f>
        <v>1933.059</v>
      </c>
      <c r="G42" s="54">
        <v>50.7</v>
      </c>
      <c r="H42" s="47">
        <v>39646</v>
      </c>
      <c r="I42" s="25">
        <f t="shared" si="9"/>
        <v>1774.5</v>
      </c>
      <c r="J42" s="66">
        <f>I42-F42</f>
        <v>-158.55899999999997</v>
      </c>
      <c r="K42" s="72">
        <f>J42/F42</f>
        <v>-0.0820249149146508</v>
      </c>
      <c r="L42" s="54">
        <f>[1]!RCHGetYahooHistory("SPY",YEAR(E42),MONTH(E42),DAY(E42),YEAR(E42),MONTH(E42),DAY(E42),"w","a",0,0,0)</f>
        <v>123.96</v>
      </c>
      <c r="M42" s="54">
        <f>[1]!RCHGetYahooHistory("SPY",YEAR(H42),MONTH(H42),DAY(H42),YEAR(H42),MONTH(H42),DAY(H42),"w","a",0,0,0)</f>
        <v>125.2</v>
      </c>
      <c r="N42" s="21">
        <f t="shared" si="10"/>
        <v>15.594215876089061</v>
      </c>
      <c r="O42" s="39">
        <f t="shared" si="11"/>
        <v>1952.3958276863505</v>
      </c>
    </row>
    <row r="43" spans="1:15" s="2" customFormat="1" ht="15">
      <c r="A43" s="59" t="s">
        <v>33</v>
      </c>
      <c r="B43" s="59">
        <v>48</v>
      </c>
      <c r="C43" s="60">
        <v>40.88</v>
      </c>
      <c r="D43" s="60">
        <f t="shared" si="8"/>
        <v>19.98</v>
      </c>
      <c r="E43" s="61">
        <v>39645</v>
      </c>
      <c r="F43" s="20">
        <f aca="true" t="shared" si="12" ref="F43:F63">B43*C43+D43</f>
        <v>1982.2200000000003</v>
      </c>
      <c r="G43" s="54">
        <v>36.79</v>
      </c>
      <c r="H43" s="47">
        <v>39654</v>
      </c>
      <c r="I43" s="25">
        <f t="shared" si="9"/>
        <v>1765.92</v>
      </c>
      <c r="J43" s="66">
        <f aca="true" t="shared" si="13" ref="J43:J64">I43-F43</f>
        <v>-216.30000000000018</v>
      </c>
      <c r="K43" s="72">
        <f aca="true" t="shared" si="14" ref="K43:K63">J43/F43</f>
        <v>-0.10912007748887619</v>
      </c>
      <c r="L43" s="54">
        <f>[1]!RCHGetYahooHistory("SPY",YEAR(E43),MONTH(E43),DAY(E43),YEAR(E43),MONTH(E43),DAY(E43),"w","a",0,0,0)</f>
        <v>123.96</v>
      </c>
      <c r="M43" s="54">
        <f>[1]!RCHGetYahooHistory("SPY",YEAR(H43),MONTH(H43),DAY(H43),YEAR(H43),MONTH(H43),DAY(H43),"w","a",0,0,0)</f>
        <v>125.48</v>
      </c>
      <c r="N43" s="21">
        <f t="shared" si="10"/>
        <v>15.990803484995162</v>
      </c>
      <c r="O43" s="39">
        <f t="shared" si="11"/>
        <v>2006.526021297193</v>
      </c>
    </row>
    <row r="44" spans="1:15" s="2" customFormat="1" ht="15">
      <c r="A44" s="59" t="s">
        <v>33</v>
      </c>
      <c r="B44" s="59">
        <v>100</v>
      </c>
      <c r="C44" s="60">
        <v>38.299</v>
      </c>
      <c r="D44" s="60">
        <f t="shared" si="8"/>
        <v>19.98</v>
      </c>
      <c r="E44" s="61">
        <v>39654</v>
      </c>
      <c r="F44" s="20">
        <f t="shared" si="12"/>
        <v>3849.88</v>
      </c>
      <c r="G44" s="54">
        <v>36.4701</v>
      </c>
      <c r="H44" s="47">
        <v>39654</v>
      </c>
      <c r="I44" s="25">
        <f t="shared" si="9"/>
        <v>3647.01</v>
      </c>
      <c r="J44" s="66">
        <f t="shared" si="13"/>
        <v>-202.8699999999999</v>
      </c>
      <c r="K44" s="72">
        <f t="shared" si="14"/>
        <v>-0.052695148939707184</v>
      </c>
      <c r="L44" s="54">
        <f>[1]!RCHGetYahooHistory("SPY",YEAR(E44),MONTH(E44),DAY(E44),YEAR(E44),MONTH(E44),DAY(E44),"w","a",0,0,0)</f>
        <v>125.48</v>
      </c>
      <c r="M44" s="54">
        <f>[1]!RCHGetYahooHistory("SPY",YEAR(H44),MONTH(H44),DAY(H44),YEAR(H44),MONTH(H44),DAY(H44),"w","a",0,0,0)</f>
        <v>125.48</v>
      </c>
      <c r="N44" s="21">
        <f t="shared" si="10"/>
        <v>30.68122409945808</v>
      </c>
      <c r="O44" s="39">
        <f t="shared" si="11"/>
        <v>3849.88</v>
      </c>
    </row>
    <row r="45" spans="1:15" s="2" customFormat="1" ht="15">
      <c r="A45" s="45" t="s">
        <v>40</v>
      </c>
      <c r="B45" s="45">
        <v>100</v>
      </c>
      <c r="C45" s="46">
        <v>9.6499</v>
      </c>
      <c r="D45" s="60">
        <f t="shared" si="8"/>
        <v>19.98</v>
      </c>
      <c r="E45" s="47">
        <v>39643</v>
      </c>
      <c r="F45" s="20">
        <f t="shared" si="12"/>
        <v>984.97</v>
      </c>
      <c r="G45" s="54">
        <v>8.96</v>
      </c>
      <c r="H45" s="47">
        <v>39666</v>
      </c>
      <c r="I45" s="25">
        <f t="shared" si="9"/>
        <v>896.0000000000001</v>
      </c>
      <c r="J45" s="66">
        <f t="shared" si="13"/>
        <v>-88.96999999999991</v>
      </c>
      <c r="K45" s="72">
        <f t="shared" si="14"/>
        <v>-0.09032762419159965</v>
      </c>
      <c r="L45" s="54">
        <f>[1]!RCHGetYahooHistory("SPY",YEAR(E45),MONTH(E45),DAY(E45),YEAR(E45),MONTH(E45),DAY(E45),"w","a",0,0,0)</f>
        <v>122.72</v>
      </c>
      <c r="M45" s="54">
        <f>[1]!RCHGetYahooHistory("SPY",YEAR(H45),MONTH(H45),DAY(H45),YEAR(H45),MONTH(H45),DAY(H45),"w","a",0,0,0)</f>
        <v>128.93</v>
      </c>
      <c r="N45" s="21">
        <f t="shared" si="10"/>
        <v>8.02615710560626</v>
      </c>
      <c r="O45" s="39">
        <f t="shared" si="11"/>
        <v>1034.8124356258152</v>
      </c>
    </row>
    <row r="46" spans="1:15" s="2" customFormat="1" ht="15">
      <c r="A46" s="45" t="s">
        <v>40</v>
      </c>
      <c r="B46" s="45">
        <v>80</v>
      </c>
      <c r="C46" s="46">
        <v>9.67</v>
      </c>
      <c r="D46" s="60">
        <f t="shared" si="8"/>
        <v>19.98</v>
      </c>
      <c r="E46" s="47">
        <v>39645</v>
      </c>
      <c r="F46" s="20">
        <f t="shared" si="12"/>
        <v>793.58</v>
      </c>
      <c r="G46" s="54">
        <v>8.9606</v>
      </c>
      <c r="H46" s="47">
        <v>39666</v>
      </c>
      <c r="I46" s="25">
        <f t="shared" si="9"/>
        <v>716.848</v>
      </c>
      <c r="J46" s="66">
        <f t="shared" si="13"/>
        <v>-76.73200000000008</v>
      </c>
      <c r="K46" s="72">
        <f t="shared" si="14"/>
        <v>-0.09669094483227914</v>
      </c>
      <c r="L46" s="54">
        <f>[1]!RCHGetYahooHistory("SPY",YEAR(E46),MONTH(E46),DAY(E46),YEAR(E46),MONTH(E46),DAY(E46),"w","a",0,0,0)</f>
        <v>123.96</v>
      </c>
      <c r="M46" s="54">
        <f>[1]!RCHGetYahooHistory("SPY",YEAR(H46),MONTH(H46),DAY(H46),YEAR(H46),MONTH(H46),DAY(H46),"w","a",0,0,0)</f>
        <v>128.93</v>
      </c>
      <c r="N46" s="21">
        <f t="shared" si="10"/>
        <v>6.401903839948371</v>
      </c>
      <c r="O46" s="39">
        <f t="shared" si="11"/>
        <v>825.3974620845436</v>
      </c>
    </row>
    <row r="47" spans="1:15" s="2" customFormat="1" ht="15">
      <c r="A47" s="59" t="s">
        <v>38</v>
      </c>
      <c r="B47" s="59">
        <v>100</v>
      </c>
      <c r="C47" s="60">
        <v>13.62</v>
      </c>
      <c r="D47" s="60">
        <f t="shared" si="8"/>
        <v>19.98</v>
      </c>
      <c r="E47" s="47">
        <v>39645</v>
      </c>
      <c r="F47" s="20">
        <f t="shared" si="12"/>
        <v>1381.98</v>
      </c>
      <c r="G47" s="54">
        <v>12.7001</v>
      </c>
      <c r="H47" s="47">
        <v>39666</v>
      </c>
      <c r="I47" s="25">
        <f t="shared" si="9"/>
        <v>1270.01</v>
      </c>
      <c r="J47" s="66">
        <f t="shared" si="13"/>
        <v>-111.97000000000003</v>
      </c>
      <c r="K47" s="72">
        <f t="shared" si="14"/>
        <v>-0.08102143301639678</v>
      </c>
      <c r="L47" s="54">
        <f>[1]!RCHGetYahooHistory("SPY",YEAR(E47),MONTH(E47),DAY(E47),YEAR(E47),MONTH(E47),DAY(E47),"w","a",0,0,0)</f>
        <v>123.96</v>
      </c>
      <c r="M47" s="54">
        <f>[1]!RCHGetYahooHistory("SPY",YEAR(H47),MONTH(H47),DAY(H47),YEAR(H47),MONTH(H47),DAY(H47),"w","a",0,0,0)</f>
        <v>128.93</v>
      </c>
      <c r="N47" s="21">
        <f t="shared" si="10"/>
        <v>11.148596321393999</v>
      </c>
      <c r="O47" s="39">
        <f t="shared" si="11"/>
        <v>1437.3885237173283</v>
      </c>
    </row>
    <row r="48" spans="1:15" s="2" customFormat="1" ht="15">
      <c r="A48" s="59" t="s">
        <v>35</v>
      </c>
      <c r="B48" s="59">
        <v>60</v>
      </c>
      <c r="C48" s="60">
        <v>27.1994</v>
      </c>
      <c r="D48" s="60">
        <f t="shared" si="8"/>
        <v>19.98</v>
      </c>
      <c r="E48" s="47">
        <v>39643</v>
      </c>
      <c r="F48" s="20">
        <f t="shared" si="12"/>
        <v>1651.944</v>
      </c>
      <c r="G48" s="54">
        <v>40.75</v>
      </c>
      <c r="H48" s="47">
        <v>39668</v>
      </c>
      <c r="I48" s="25">
        <f t="shared" si="9"/>
        <v>2445</v>
      </c>
      <c r="J48" s="66">
        <f t="shared" si="13"/>
        <v>793.056</v>
      </c>
      <c r="K48" s="72">
        <f t="shared" si="14"/>
        <v>0.4800743850881144</v>
      </c>
      <c r="L48" s="54">
        <f>[1]!RCHGetYahooHistory("SPY",YEAR(E48),MONTH(E48),DAY(E48),YEAR(E48),MONTH(E48),DAY(E48),"w","a",0,0,0)</f>
        <v>122.72</v>
      </c>
      <c r="M48" s="48">
        <v>128.93</v>
      </c>
      <c r="N48" s="21">
        <f t="shared" si="10"/>
        <v>13.461082138200782</v>
      </c>
      <c r="O48" s="39">
        <f t="shared" si="11"/>
        <v>1735.537320078227</v>
      </c>
    </row>
    <row r="49" spans="1:15" s="2" customFormat="1" ht="15">
      <c r="A49" s="59"/>
      <c r="B49" s="59"/>
      <c r="C49" s="60"/>
      <c r="D49" s="60"/>
      <c r="E49" s="59"/>
      <c r="F49" s="20">
        <f t="shared" si="12"/>
        <v>0</v>
      </c>
      <c r="G49" s="54"/>
      <c r="H49" s="48"/>
      <c r="I49" s="25">
        <f t="shared" si="9"/>
        <v>0</v>
      </c>
      <c r="J49" s="66">
        <f t="shared" si="13"/>
        <v>0</v>
      </c>
      <c r="K49" s="72" t="e">
        <f t="shared" si="14"/>
        <v>#DIV/0!</v>
      </c>
      <c r="L49" s="48"/>
      <c r="M49" s="48"/>
      <c r="N49" s="21">
        <f aca="true" t="shared" si="15" ref="N49:N60">IF(AND(F49&gt;0,L49&gt;0),F49/L49,0)</f>
        <v>0</v>
      </c>
      <c r="O49" s="39">
        <f aca="true" t="shared" si="16" ref="O49:O60">N49*M49</f>
        <v>0</v>
      </c>
    </row>
    <row r="50" spans="1:15" ht="15">
      <c r="A50" s="48"/>
      <c r="B50" s="48"/>
      <c r="C50" s="54"/>
      <c r="D50" s="54"/>
      <c r="E50" s="48"/>
      <c r="F50" s="20">
        <f t="shared" si="12"/>
        <v>0</v>
      </c>
      <c r="G50" s="54"/>
      <c r="H50" s="48"/>
      <c r="I50" s="25">
        <f t="shared" si="9"/>
        <v>0</v>
      </c>
      <c r="J50" s="66">
        <f t="shared" si="13"/>
        <v>0</v>
      </c>
      <c r="K50" s="72" t="e">
        <f t="shared" si="14"/>
        <v>#DIV/0!</v>
      </c>
      <c r="L50" s="48"/>
      <c r="M50" s="48"/>
      <c r="N50" s="21">
        <f t="shared" si="15"/>
        <v>0</v>
      </c>
      <c r="O50" s="39">
        <f t="shared" si="16"/>
        <v>0</v>
      </c>
    </row>
    <row r="51" spans="1:15" ht="15">
      <c r="A51" s="48"/>
      <c r="B51" s="48"/>
      <c r="C51" s="54"/>
      <c r="D51" s="54"/>
      <c r="E51" s="48"/>
      <c r="F51" s="20">
        <f t="shared" si="12"/>
        <v>0</v>
      </c>
      <c r="G51" s="54"/>
      <c r="H51" s="48"/>
      <c r="I51" s="25">
        <f t="shared" si="9"/>
        <v>0</v>
      </c>
      <c r="J51" s="66">
        <f t="shared" si="13"/>
        <v>0</v>
      </c>
      <c r="K51" s="72" t="e">
        <f t="shared" si="14"/>
        <v>#DIV/0!</v>
      </c>
      <c r="L51" s="48"/>
      <c r="M51" s="48"/>
      <c r="N51" s="21">
        <f t="shared" si="15"/>
        <v>0</v>
      </c>
      <c r="O51" s="39">
        <f t="shared" si="16"/>
        <v>0</v>
      </c>
    </row>
    <row r="52" spans="1:15" ht="15">
      <c r="A52" s="48"/>
      <c r="B52" s="48"/>
      <c r="C52" s="54"/>
      <c r="D52" s="54"/>
      <c r="E52" s="48"/>
      <c r="F52" s="20">
        <f t="shared" si="12"/>
        <v>0</v>
      </c>
      <c r="G52" s="54"/>
      <c r="H52" s="48"/>
      <c r="I52" s="25">
        <f t="shared" si="9"/>
        <v>0</v>
      </c>
      <c r="J52" s="66">
        <f t="shared" si="13"/>
        <v>0</v>
      </c>
      <c r="K52" s="72" t="e">
        <f t="shared" si="14"/>
        <v>#DIV/0!</v>
      </c>
      <c r="L52" s="48"/>
      <c r="M52" s="48"/>
      <c r="N52" s="21">
        <f t="shared" si="15"/>
        <v>0</v>
      </c>
      <c r="O52" s="39">
        <f t="shared" si="16"/>
        <v>0</v>
      </c>
    </row>
    <row r="53" spans="1:15" ht="15">
      <c r="A53" s="48"/>
      <c r="B53" s="48"/>
      <c r="C53" s="54"/>
      <c r="D53" s="54"/>
      <c r="E53" s="48"/>
      <c r="F53" s="20">
        <f t="shared" si="12"/>
        <v>0</v>
      </c>
      <c r="G53" s="54"/>
      <c r="H53" s="48"/>
      <c r="I53" s="25">
        <f t="shared" si="9"/>
        <v>0</v>
      </c>
      <c r="J53" s="66">
        <f t="shared" si="13"/>
        <v>0</v>
      </c>
      <c r="K53" s="72" t="e">
        <f t="shared" si="14"/>
        <v>#DIV/0!</v>
      </c>
      <c r="L53" s="48"/>
      <c r="M53" s="48"/>
      <c r="N53" s="21">
        <f t="shared" si="15"/>
        <v>0</v>
      </c>
      <c r="O53" s="39">
        <f t="shared" si="16"/>
        <v>0</v>
      </c>
    </row>
    <row r="54" spans="1:15" ht="15">
      <c r="A54" s="48"/>
      <c r="B54" s="48"/>
      <c r="C54" s="54"/>
      <c r="D54" s="54"/>
      <c r="E54" s="48"/>
      <c r="F54" s="20">
        <f>B54*C54+D54</f>
        <v>0</v>
      </c>
      <c r="G54" s="54"/>
      <c r="H54" s="48"/>
      <c r="I54" s="25">
        <f>G54*B54</f>
        <v>0</v>
      </c>
      <c r="J54" s="66">
        <f>I54-F54</f>
        <v>0</v>
      </c>
      <c r="K54" s="72" t="e">
        <f>J54/F54</f>
        <v>#DIV/0!</v>
      </c>
      <c r="L54" s="48"/>
      <c r="M54" s="48"/>
      <c r="N54" s="21">
        <f t="shared" si="15"/>
        <v>0</v>
      </c>
      <c r="O54" s="39">
        <f t="shared" si="16"/>
        <v>0</v>
      </c>
    </row>
    <row r="55" spans="1:15" ht="15">
      <c r="A55" s="48"/>
      <c r="B55" s="48"/>
      <c r="C55" s="54"/>
      <c r="D55" s="54"/>
      <c r="E55" s="48"/>
      <c r="F55" s="20">
        <f>B55*C55+D55</f>
        <v>0</v>
      </c>
      <c r="G55" s="54"/>
      <c r="H55" s="48"/>
      <c r="I55" s="25">
        <f>G55*B55</f>
        <v>0</v>
      </c>
      <c r="J55" s="66">
        <f>I55-F55</f>
        <v>0</v>
      </c>
      <c r="K55" s="72" t="e">
        <f>J55/F55</f>
        <v>#DIV/0!</v>
      </c>
      <c r="L55" s="48"/>
      <c r="M55" s="48"/>
      <c r="N55" s="21">
        <f t="shared" si="15"/>
        <v>0</v>
      </c>
      <c r="O55" s="39">
        <f t="shared" si="16"/>
        <v>0</v>
      </c>
    </row>
    <row r="56" spans="1:15" ht="15">
      <c r="A56" s="48"/>
      <c r="B56" s="48"/>
      <c r="C56" s="54"/>
      <c r="D56" s="54"/>
      <c r="E56" s="48"/>
      <c r="F56" s="20">
        <f>B56*C56+D56</f>
        <v>0</v>
      </c>
      <c r="G56" s="54"/>
      <c r="H56" s="48"/>
      <c r="I56" s="25">
        <f>G56*B56</f>
        <v>0</v>
      </c>
      <c r="J56" s="66">
        <f>I56-F56</f>
        <v>0</v>
      </c>
      <c r="K56" s="72" t="e">
        <f>J56/F56</f>
        <v>#DIV/0!</v>
      </c>
      <c r="L56" s="48"/>
      <c r="M56" s="48"/>
      <c r="N56" s="21">
        <f t="shared" si="15"/>
        <v>0</v>
      </c>
      <c r="O56" s="39">
        <f t="shared" si="16"/>
        <v>0</v>
      </c>
    </row>
    <row r="57" spans="1:15" ht="15">
      <c r="A57" s="48"/>
      <c r="B57" s="48"/>
      <c r="C57" s="54"/>
      <c r="D57" s="54"/>
      <c r="E57" s="48"/>
      <c r="F57" s="20">
        <f>B57*C57+D57</f>
        <v>0</v>
      </c>
      <c r="G57" s="54"/>
      <c r="H57" s="48"/>
      <c r="I57" s="25">
        <f>G57*B57</f>
        <v>0</v>
      </c>
      <c r="J57" s="66">
        <f>I57-F57</f>
        <v>0</v>
      </c>
      <c r="K57" s="72" t="e">
        <f>J57/F57</f>
        <v>#DIV/0!</v>
      </c>
      <c r="L57" s="48"/>
      <c r="M57" s="48"/>
      <c r="N57" s="21">
        <f t="shared" si="15"/>
        <v>0</v>
      </c>
      <c r="O57" s="39">
        <f t="shared" si="16"/>
        <v>0</v>
      </c>
    </row>
    <row r="58" spans="1:15" ht="15">
      <c r="A58" s="48"/>
      <c r="B58" s="48"/>
      <c r="C58" s="54"/>
      <c r="D58" s="54"/>
      <c r="E58" s="48"/>
      <c r="F58" s="20">
        <f>B58*C58+D58</f>
        <v>0</v>
      </c>
      <c r="G58" s="54"/>
      <c r="H58" s="48"/>
      <c r="I58" s="25">
        <f>G58*B58</f>
        <v>0</v>
      </c>
      <c r="J58" s="66">
        <f>I58-F58</f>
        <v>0</v>
      </c>
      <c r="K58" s="72" t="e">
        <f>J58/F58</f>
        <v>#DIV/0!</v>
      </c>
      <c r="L58" s="48"/>
      <c r="M58" s="48"/>
      <c r="N58" s="21">
        <f t="shared" si="15"/>
        <v>0</v>
      </c>
      <c r="O58" s="39">
        <f t="shared" si="16"/>
        <v>0</v>
      </c>
    </row>
    <row r="59" spans="1:15" ht="15">
      <c r="A59" s="48"/>
      <c r="B59" s="48"/>
      <c r="C59" s="54"/>
      <c r="D59" s="54"/>
      <c r="E59" s="48"/>
      <c r="F59" s="20">
        <f t="shared" si="12"/>
        <v>0</v>
      </c>
      <c r="G59" s="54"/>
      <c r="H59" s="48"/>
      <c r="I59" s="25">
        <f t="shared" si="9"/>
        <v>0</v>
      </c>
      <c r="J59" s="66">
        <f t="shared" si="13"/>
        <v>0</v>
      </c>
      <c r="K59" s="72" t="e">
        <f t="shared" si="14"/>
        <v>#DIV/0!</v>
      </c>
      <c r="L59" s="48"/>
      <c r="M59" s="48"/>
      <c r="N59" s="21">
        <f t="shared" si="15"/>
        <v>0</v>
      </c>
      <c r="O59" s="39">
        <f t="shared" si="16"/>
        <v>0</v>
      </c>
    </row>
    <row r="60" spans="1:15" ht="15">
      <c r="A60" s="48"/>
      <c r="B60" s="48"/>
      <c r="C60" s="54"/>
      <c r="D60" s="54"/>
      <c r="E60" s="48"/>
      <c r="F60" s="20">
        <f t="shared" si="12"/>
        <v>0</v>
      </c>
      <c r="G60" s="54"/>
      <c r="H60" s="48"/>
      <c r="I60" s="25">
        <f t="shared" si="9"/>
        <v>0</v>
      </c>
      <c r="J60" s="66">
        <f t="shared" si="13"/>
        <v>0</v>
      </c>
      <c r="K60" s="72" t="e">
        <f t="shared" si="14"/>
        <v>#DIV/0!</v>
      </c>
      <c r="L60" s="48"/>
      <c r="M60" s="48"/>
      <c r="N60" s="21">
        <f t="shared" si="15"/>
        <v>0</v>
      </c>
      <c r="O60" s="39">
        <f t="shared" si="16"/>
        <v>0</v>
      </c>
    </row>
    <row r="61" spans="1:15" ht="15">
      <c r="A61" s="48"/>
      <c r="B61" s="48"/>
      <c r="C61" s="54"/>
      <c r="D61" s="54"/>
      <c r="E61" s="48"/>
      <c r="F61" s="20">
        <f t="shared" si="12"/>
        <v>0</v>
      </c>
      <c r="G61" s="54"/>
      <c r="H61" s="48"/>
      <c r="I61" s="25">
        <f t="shared" si="9"/>
        <v>0</v>
      </c>
      <c r="J61" s="66">
        <f t="shared" si="13"/>
        <v>0</v>
      </c>
      <c r="K61" s="72" t="e">
        <f t="shared" si="14"/>
        <v>#DIV/0!</v>
      </c>
      <c r="L61" s="48"/>
      <c r="M61" s="48"/>
      <c r="N61" s="21">
        <f>IF(AND(F61&gt;0,L61&gt;0),F61/L61,0)</f>
        <v>0</v>
      </c>
      <c r="O61" s="39">
        <f>N61*M61</f>
        <v>0</v>
      </c>
    </row>
    <row r="62" spans="1:15" ht="15">
      <c r="A62" s="48"/>
      <c r="B62" s="48"/>
      <c r="C62" s="54"/>
      <c r="D62" s="54"/>
      <c r="E62" s="48"/>
      <c r="F62" s="20">
        <f t="shared" si="12"/>
        <v>0</v>
      </c>
      <c r="G62" s="54"/>
      <c r="H62" s="48"/>
      <c r="I62" s="25">
        <f t="shared" si="9"/>
        <v>0</v>
      </c>
      <c r="J62" s="66">
        <f t="shared" si="13"/>
        <v>0</v>
      </c>
      <c r="K62" s="72" t="e">
        <f t="shared" si="14"/>
        <v>#DIV/0!</v>
      </c>
      <c r="L62" s="48"/>
      <c r="M62" s="48"/>
      <c r="N62" s="21">
        <f>IF(AND(F62&gt;0,L62&gt;0),F62/L62,0)</f>
        <v>0</v>
      </c>
      <c r="O62" s="39">
        <f>N62*M62</f>
        <v>0</v>
      </c>
    </row>
    <row r="63" spans="1:15" ht="15">
      <c r="A63" s="48"/>
      <c r="B63" s="48"/>
      <c r="C63" s="54"/>
      <c r="D63" s="54"/>
      <c r="E63" s="48"/>
      <c r="F63" s="20">
        <f t="shared" si="12"/>
        <v>0</v>
      </c>
      <c r="G63" s="54"/>
      <c r="H63" s="48"/>
      <c r="I63" s="25">
        <f t="shared" si="9"/>
        <v>0</v>
      </c>
      <c r="J63" s="66">
        <f t="shared" si="13"/>
        <v>0</v>
      </c>
      <c r="K63" s="72" t="e">
        <f t="shared" si="14"/>
        <v>#DIV/0!</v>
      </c>
      <c r="L63" s="48"/>
      <c r="M63" s="48"/>
      <c r="N63" s="21">
        <f>IF(AND(F63&gt;0,L63&gt;0),F63/L63,0)</f>
        <v>0</v>
      </c>
      <c r="O63" s="39">
        <f>N63*M63</f>
        <v>0</v>
      </c>
    </row>
    <row r="64" spans="1:15" ht="15">
      <c r="A64" s="51"/>
      <c r="B64" s="51"/>
      <c r="C64" s="55"/>
      <c r="D64" s="55"/>
      <c r="E64" s="51"/>
      <c r="F64" s="22">
        <f>B64*C64+D64</f>
        <v>0</v>
      </c>
      <c r="G64" s="55"/>
      <c r="H64" s="51"/>
      <c r="I64" s="26">
        <f t="shared" si="9"/>
        <v>0</v>
      </c>
      <c r="J64" s="67">
        <f t="shared" si="13"/>
        <v>0</v>
      </c>
      <c r="K64" s="73" t="e">
        <f>J64/F64</f>
        <v>#DIV/0!</v>
      </c>
      <c r="L64" s="51"/>
      <c r="M64" s="51"/>
      <c r="N64" s="23">
        <f>IF(AND(F64&gt;0,L64&gt;0),F64/L64,0)</f>
        <v>0</v>
      </c>
      <c r="O64" s="40">
        <f>N64*M64</f>
        <v>0</v>
      </c>
    </row>
    <row r="66" spans="5:15" ht="15">
      <c r="E66" s="81" t="s">
        <v>11</v>
      </c>
      <c r="F66" s="3">
        <f>SUM(F41:F64)</f>
        <v>15843.392999999998</v>
      </c>
      <c r="I66" s="4">
        <f>SUM(I41:I64)</f>
        <v>15680.488000000001</v>
      </c>
      <c r="N66" s="81" t="s">
        <v>12</v>
      </c>
      <c r="O66" s="3">
        <f>SUM(O41:O64)</f>
        <v>16140.695817347345</v>
      </c>
    </row>
    <row r="67" spans="5:15" ht="15">
      <c r="E67" s="82" t="s">
        <v>13</v>
      </c>
      <c r="F67" s="78">
        <f>I66-F66</f>
        <v>-162.90499999999702</v>
      </c>
      <c r="N67" s="82" t="s">
        <v>30</v>
      </c>
      <c r="O67" s="80">
        <f>O66-F66</f>
        <v>297.3028173473467</v>
      </c>
    </row>
    <row r="68" spans="5:15" ht="15">
      <c r="E68" s="83" t="s">
        <v>14</v>
      </c>
      <c r="F68" s="5">
        <f>F67/F66</f>
        <v>-0.01028220407080712</v>
      </c>
      <c r="N68" s="83" t="s">
        <v>14</v>
      </c>
      <c r="O68" s="5">
        <f>O67/F66</f>
        <v>0.018765097687556367</v>
      </c>
    </row>
    <row r="69" spans="6:15" ht="15">
      <c r="F69" s="6"/>
      <c r="O69" s="6"/>
    </row>
    <row r="70" spans="1:9" ht="18">
      <c r="A70" s="62"/>
      <c r="C70" s="63" t="s">
        <v>49</v>
      </c>
      <c r="D70" s="64">
        <f>C2</f>
        <v>39675</v>
      </c>
      <c r="E70" s="74">
        <f>F67+F36</f>
        <v>10348.09200000002</v>
      </c>
      <c r="F70" s="76">
        <f>(F36+F67)/(F35+F66-I66)</f>
        <v>0.188638176454534</v>
      </c>
      <c r="G70" s="87"/>
      <c r="I70" s="88">
        <f>(F36+F67)/(F35+F66)</f>
        <v>0.14670379576109788</v>
      </c>
    </row>
    <row r="71" spans="1:9" ht="18">
      <c r="A71" s="62"/>
      <c r="C71" s="63" t="s">
        <v>29</v>
      </c>
      <c r="D71" s="64">
        <f>C2</f>
        <v>39675</v>
      </c>
      <c r="E71" s="75">
        <f>O67+M36</f>
        <v>2176.844017751504</v>
      </c>
      <c r="F71" s="77">
        <f>(O67+M36)/(F66-I66+F35)</f>
        <v>0.03968228016668234</v>
      </c>
      <c r="I71" s="88">
        <f>(O67+M36)/(F66+F35)</f>
        <v>0.030860885290156268</v>
      </c>
    </row>
    <row r="73" ht="15">
      <c r="A73" s="1" t="s">
        <v>19</v>
      </c>
    </row>
    <row r="74" ht="15">
      <c r="A74" s="1" t="s">
        <v>20</v>
      </c>
    </row>
    <row r="76" spans="7:27" ht="15.75" thickBot="1">
      <c r="G76" s="93" t="s">
        <v>51</v>
      </c>
      <c r="H76" s="92" t="s">
        <v>35</v>
      </c>
      <c r="I76" s="92" t="s">
        <v>39</v>
      </c>
      <c r="J76" s="92" t="s">
        <v>37</v>
      </c>
      <c r="K76" s="92" t="s">
        <v>34</v>
      </c>
      <c r="L76" s="92" t="s">
        <v>42</v>
      </c>
      <c r="M76" s="92" t="s">
        <v>41</v>
      </c>
      <c r="N76" s="92" t="s">
        <v>36</v>
      </c>
      <c r="O76" s="92" t="s">
        <v>45</v>
      </c>
      <c r="P76" s="92" t="s">
        <v>44</v>
      </c>
      <c r="Q76" s="92" t="s">
        <v>47</v>
      </c>
      <c r="R76" s="92" t="s">
        <v>43</v>
      </c>
      <c r="S76" s="92" t="s">
        <v>46</v>
      </c>
      <c r="T76" s="92" t="s">
        <v>40</v>
      </c>
      <c r="U76" s="92" t="s">
        <v>48</v>
      </c>
      <c r="V76" s="92" t="s">
        <v>38</v>
      </c>
      <c r="W76" s="92" t="s">
        <v>33</v>
      </c>
      <c r="X76" s="92" t="s">
        <v>32</v>
      </c>
      <c r="Y76" s="92" t="s">
        <v>31</v>
      </c>
      <c r="Z76" s="1" t="s">
        <v>58</v>
      </c>
      <c r="AA76" s="1" t="s">
        <v>59</v>
      </c>
    </row>
    <row r="77" spans="7:27" ht="15">
      <c r="G77" s="90">
        <v>39638</v>
      </c>
      <c r="H77" s="91">
        <v>0</v>
      </c>
      <c r="I77" s="91">
        <v>0</v>
      </c>
      <c r="J77" s="91">
        <v>0</v>
      </c>
      <c r="K77" s="91">
        <v>150</v>
      </c>
      <c r="L77" s="91">
        <v>0</v>
      </c>
      <c r="M77" s="91">
        <v>0</v>
      </c>
      <c r="N77" s="91">
        <v>0</v>
      </c>
      <c r="O77" s="91">
        <v>0</v>
      </c>
      <c r="P77" s="91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1">
        <v>0</v>
      </c>
      <c r="AA77" s="1">
        <v>0</v>
      </c>
    </row>
    <row r="78" spans="7:27" ht="15">
      <c r="G78" s="90">
        <v>39639</v>
      </c>
      <c r="H78" s="91">
        <v>0</v>
      </c>
      <c r="I78" s="91">
        <v>0</v>
      </c>
      <c r="J78" s="91">
        <v>0</v>
      </c>
      <c r="K78" s="91">
        <v>150</v>
      </c>
      <c r="L78" s="91">
        <v>0</v>
      </c>
      <c r="M78" s="91">
        <v>0</v>
      </c>
      <c r="N78" s="91">
        <v>40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1">
        <v>0</v>
      </c>
      <c r="AA78" s="1">
        <v>0</v>
      </c>
    </row>
    <row r="79" spans="7:27" ht="15">
      <c r="G79" s="90">
        <v>39640</v>
      </c>
      <c r="H79" s="91">
        <v>0</v>
      </c>
      <c r="I79" s="91">
        <v>0</v>
      </c>
      <c r="J79" s="91">
        <v>0</v>
      </c>
      <c r="K79" s="91">
        <v>150</v>
      </c>
      <c r="L79" s="91">
        <v>0</v>
      </c>
      <c r="M79" s="91">
        <v>0</v>
      </c>
      <c r="N79" s="91">
        <v>40</v>
      </c>
      <c r="O79" s="91">
        <v>0</v>
      </c>
      <c r="P79" s="91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1">
        <v>0</v>
      </c>
      <c r="AA79" s="1">
        <v>0</v>
      </c>
    </row>
    <row r="80" spans="7:27" ht="15">
      <c r="G80" s="90">
        <v>39641</v>
      </c>
      <c r="H80" s="91">
        <v>0</v>
      </c>
      <c r="I80" s="91">
        <v>0</v>
      </c>
      <c r="J80" s="91">
        <v>0</v>
      </c>
      <c r="K80" s="91">
        <v>150</v>
      </c>
      <c r="L80" s="91">
        <v>0</v>
      </c>
      <c r="M80" s="91">
        <v>0</v>
      </c>
      <c r="N80" s="91">
        <v>40</v>
      </c>
      <c r="O80" s="91">
        <v>0</v>
      </c>
      <c r="P80" s="91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1">
        <v>0</v>
      </c>
      <c r="AA80" s="1">
        <v>0</v>
      </c>
    </row>
    <row r="81" spans="7:27" ht="15">
      <c r="G81" s="90">
        <v>39642</v>
      </c>
      <c r="H81" s="91">
        <v>0</v>
      </c>
      <c r="I81" s="91">
        <v>0</v>
      </c>
      <c r="J81" s="91">
        <v>0</v>
      </c>
      <c r="K81" s="91">
        <v>150</v>
      </c>
      <c r="L81" s="91">
        <v>0</v>
      </c>
      <c r="M81" s="91">
        <v>0</v>
      </c>
      <c r="N81" s="91">
        <v>40</v>
      </c>
      <c r="O81" s="91">
        <v>0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1">
        <v>0</v>
      </c>
      <c r="AA81" s="1">
        <v>0</v>
      </c>
    </row>
    <row r="82" spans="7:27" ht="15">
      <c r="G82" s="90">
        <v>39643</v>
      </c>
      <c r="H82" s="91">
        <v>330</v>
      </c>
      <c r="I82" s="91">
        <v>0</v>
      </c>
      <c r="J82" s="91">
        <v>100</v>
      </c>
      <c r="K82" s="91">
        <v>400</v>
      </c>
      <c r="L82" s="91">
        <v>66</v>
      </c>
      <c r="M82" s="91">
        <v>0</v>
      </c>
      <c r="N82" s="91">
        <v>40</v>
      </c>
      <c r="O82" s="91">
        <v>0</v>
      </c>
      <c r="P82" s="91">
        <v>0</v>
      </c>
      <c r="Q82" s="91">
        <v>0</v>
      </c>
      <c r="R82" s="91">
        <v>0</v>
      </c>
      <c r="S82" s="91">
        <v>0</v>
      </c>
      <c r="T82" s="91">
        <v>100</v>
      </c>
      <c r="U82" s="91">
        <v>0</v>
      </c>
      <c r="V82" s="91">
        <v>0</v>
      </c>
      <c r="W82" s="91">
        <v>0</v>
      </c>
      <c r="X82" s="91">
        <v>0</v>
      </c>
      <c r="Y82" s="91">
        <v>20</v>
      </c>
      <c r="Z82" s="1">
        <v>0</v>
      </c>
      <c r="AA82" s="1">
        <v>0</v>
      </c>
    </row>
    <row r="83" spans="7:27" ht="15">
      <c r="G83" s="90">
        <v>39644</v>
      </c>
      <c r="H83" s="91">
        <v>330</v>
      </c>
      <c r="I83" s="91">
        <v>0</v>
      </c>
      <c r="J83" s="91">
        <v>200</v>
      </c>
      <c r="K83" s="91">
        <v>400</v>
      </c>
      <c r="L83" s="91">
        <v>66</v>
      </c>
      <c r="M83" s="91">
        <v>0</v>
      </c>
      <c r="N83" s="91">
        <v>140</v>
      </c>
      <c r="O83" s="91">
        <v>0</v>
      </c>
      <c r="P83" s="91">
        <v>25</v>
      </c>
      <c r="Q83" s="91">
        <v>45</v>
      </c>
      <c r="R83" s="91">
        <v>15</v>
      </c>
      <c r="S83" s="91">
        <v>0</v>
      </c>
      <c r="T83" s="91">
        <v>100</v>
      </c>
      <c r="U83" s="91">
        <v>0</v>
      </c>
      <c r="V83" s="91">
        <v>0</v>
      </c>
      <c r="W83" s="91">
        <v>0</v>
      </c>
      <c r="X83" s="91">
        <v>0</v>
      </c>
      <c r="Y83" s="91">
        <v>20</v>
      </c>
      <c r="Z83" s="1">
        <v>0</v>
      </c>
      <c r="AA83" s="1">
        <v>0</v>
      </c>
    </row>
    <row r="84" spans="7:27" ht="15">
      <c r="G84" s="90">
        <v>39645</v>
      </c>
      <c r="H84" s="91">
        <v>330</v>
      </c>
      <c r="I84" s="91">
        <v>325</v>
      </c>
      <c r="J84" s="91">
        <v>200</v>
      </c>
      <c r="K84" s="91">
        <v>400</v>
      </c>
      <c r="L84" s="91">
        <v>66</v>
      </c>
      <c r="M84" s="91">
        <v>0</v>
      </c>
      <c r="N84" s="91">
        <v>140</v>
      </c>
      <c r="O84" s="91">
        <v>60</v>
      </c>
      <c r="P84" s="91">
        <v>25</v>
      </c>
      <c r="Q84" s="91">
        <v>45</v>
      </c>
      <c r="R84" s="91">
        <v>15</v>
      </c>
      <c r="S84" s="91">
        <v>0</v>
      </c>
      <c r="T84" s="91">
        <v>180</v>
      </c>
      <c r="U84" s="91">
        <v>59</v>
      </c>
      <c r="V84" s="91">
        <v>100</v>
      </c>
      <c r="W84" s="91">
        <v>48</v>
      </c>
      <c r="X84" s="91">
        <v>35</v>
      </c>
      <c r="Y84" s="91">
        <v>0</v>
      </c>
      <c r="Z84" s="1">
        <v>0</v>
      </c>
      <c r="AA84" s="1">
        <v>0</v>
      </c>
    </row>
    <row r="85" spans="7:27" ht="15">
      <c r="G85" s="90">
        <v>39646</v>
      </c>
      <c r="H85" s="91">
        <v>330</v>
      </c>
      <c r="I85" s="91">
        <v>325</v>
      </c>
      <c r="J85" s="91">
        <v>200</v>
      </c>
      <c r="K85" s="91">
        <v>400</v>
      </c>
      <c r="L85" s="91">
        <v>66</v>
      </c>
      <c r="M85" s="91">
        <v>64</v>
      </c>
      <c r="N85" s="91">
        <v>140</v>
      </c>
      <c r="O85" s="91">
        <v>60</v>
      </c>
      <c r="P85" s="91">
        <v>25</v>
      </c>
      <c r="Q85" s="91">
        <v>45</v>
      </c>
      <c r="R85" s="91">
        <v>15</v>
      </c>
      <c r="S85" s="91">
        <v>0</v>
      </c>
      <c r="T85" s="91">
        <v>180</v>
      </c>
      <c r="U85" s="91">
        <v>59</v>
      </c>
      <c r="V85" s="91">
        <v>100</v>
      </c>
      <c r="W85" s="91">
        <v>48</v>
      </c>
      <c r="X85" s="91">
        <v>0</v>
      </c>
      <c r="Y85" s="91">
        <v>0</v>
      </c>
      <c r="Z85" s="1">
        <v>0</v>
      </c>
      <c r="AA85" s="1">
        <v>0</v>
      </c>
    </row>
    <row r="86" spans="7:27" ht="15">
      <c r="G86" s="90">
        <v>39647</v>
      </c>
      <c r="H86" s="91">
        <v>330</v>
      </c>
      <c r="I86" s="91">
        <v>426</v>
      </c>
      <c r="J86" s="91">
        <v>200</v>
      </c>
      <c r="K86" s="91">
        <v>400</v>
      </c>
      <c r="L86" s="91">
        <v>66</v>
      </c>
      <c r="M86" s="91">
        <v>64</v>
      </c>
      <c r="N86" s="91">
        <v>140</v>
      </c>
      <c r="O86" s="91">
        <v>60</v>
      </c>
      <c r="P86" s="91">
        <v>25</v>
      </c>
      <c r="Q86" s="91">
        <v>45</v>
      </c>
      <c r="R86" s="91">
        <v>15</v>
      </c>
      <c r="S86" s="91">
        <v>0</v>
      </c>
      <c r="T86" s="91">
        <v>180</v>
      </c>
      <c r="U86" s="91">
        <v>59</v>
      </c>
      <c r="V86" s="91">
        <v>100</v>
      </c>
      <c r="W86" s="91">
        <v>48</v>
      </c>
      <c r="X86" s="91">
        <v>0</v>
      </c>
      <c r="Y86" s="91">
        <v>0</v>
      </c>
      <c r="Z86" s="1">
        <v>0</v>
      </c>
      <c r="AA86" s="1">
        <v>0</v>
      </c>
    </row>
    <row r="87" spans="7:27" ht="15">
      <c r="G87" s="90">
        <v>39648</v>
      </c>
      <c r="H87" s="91">
        <v>330</v>
      </c>
      <c r="I87" s="91">
        <v>426</v>
      </c>
      <c r="J87" s="91">
        <v>200</v>
      </c>
      <c r="K87" s="91">
        <v>400</v>
      </c>
      <c r="L87" s="91">
        <v>66</v>
      </c>
      <c r="M87" s="91">
        <v>64</v>
      </c>
      <c r="N87" s="91">
        <v>140</v>
      </c>
      <c r="O87" s="91">
        <v>60</v>
      </c>
      <c r="P87" s="91">
        <v>25</v>
      </c>
      <c r="Q87" s="91">
        <v>45</v>
      </c>
      <c r="R87" s="91">
        <v>15</v>
      </c>
      <c r="S87" s="91">
        <v>0</v>
      </c>
      <c r="T87" s="91">
        <v>180</v>
      </c>
      <c r="U87" s="91">
        <v>59</v>
      </c>
      <c r="V87" s="91">
        <v>100</v>
      </c>
      <c r="W87" s="91">
        <v>48</v>
      </c>
      <c r="X87" s="91">
        <v>0</v>
      </c>
      <c r="Y87" s="91">
        <v>0</v>
      </c>
      <c r="Z87" s="1">
        <v>0</v>
      </c>
      <c r="AA87" s="1">
        <v>0</v>
      </c>
    </row>
    <row r="88" spans="7:27" ht="15">
      <c r="G88" s="90">
        <v>39649</v>
      </c>
      <c r="H88" s="91">
        <v>330</v>
      </c>
      <c r="I88" s="91">
        <v>426</v>
      </c>
      <c r="J88" s="91">
        <v>200</v>
      </c>
      <c r="K88" s="91">
        <v>400</v>
      </c>
      <c r="L88" s="91">
        <v>66</v>
      </c>
      <c r="M88" s="91">
        <v>64</v>
      </c>
      <c r="N88" s="91">
        <v>140</v>
      </c>
      <c r="O88" s="91">
        <v>60</v>
      </c>
      <c r="P88" s="91">
        <v>25</v>
      </c>
      <c r="Q88" s="91">
        <v>45</v>
      </c>
      <c r="R88" s="91">
        <v>15</v>
      </c>
      <c r="S88" s="91">
        <v>0</v>
      </c>
      <c r="T88" s="91">
        <v>180</v>
      </c>
      <c r="U88" s="91">
        <v>59</v>
      </c>
      <c r="V88" s="91">
        <v>100</v>
      </c>
      <c r="W88" s="91">
        <v>48</v>
      </c>
      <c r="X88" s="91">
        <v>0</v>
      </c>
      <c r="Y88" s="91">
        <v>0</v>
      </c>
      <c r="Z88" s="1">
        <v>0</v>
      </c>
      <c r="AA88" s="1">
        <v>0</v>
      </c>
    </row>
    <row r="89" spans="7:27" ht="15">
      <c r="G89" s="90">
        <v>39650</v>
      </c>
      <c r="H89" s="91">
        <v>330</v>
      </c>
      <c r="I89" s="91">
        <v>426</v>
      </c>
      <c r="J89" s="91">
        <v>200</v>
      </c>
      <c r="K89" s="91">
        <v>400</v>
      </c>
      <c r="L89" s="91">
        <v>66</v>
      </c>
      <c r="M89" s="91">
        <v>64</v>
      </c>
      <c r="N89" s="91">
        <v>140</v>
      </c>
      <c r="O89" s="91">
        <v>60</v>
      </c>
      <c r="P89" s="91">
        <v>25</v>
      </c>
      <c r="Q89" s="91">
        <v>45</v>
      </c>
      <c r="R89" s="91">
        <v>15</v>
      </c>
      <c r="S89" s="91">
        <v>0</v>
      </c>
      <c r="T89" s="91">
        <v>180</v>
      </c>
      <c r="U89" s="91">
        <v>59</v>
      </c>
      <c r="V89" s="91">
        <v>100</v>
      </c>
      <c r="W89" s="91">
        <v>48</v>
      </c>
      <c r="X89" s="91">
        <v>0</v>
      </c>
      <c r="Y89" s="91">
        <v>0</v>
      </c>
      <c r="Z89" s="1">
        <v>0</v>
      </c>
      <c r="AA89" s="1">
        <v>0</v>
      </c>
    </row>
    <row r="90" spans="7:27" ht="15">
      <c r="G90" s="90">
        <v>39651</v>
      </c>
      <c r="H90" s="91">
        <v>330</v>
      </c>
      <c r="I90" s="91">
        <v>426</v>
      </c>
      <c r="J90" s="91">
        <v>200</v>
      </c>
      <c r="K90" s="91">
        <v>400</v>
      </c>
      <c r="L90" s="91">
        <v>66</v>
      </c>
      <c r="M90" s="91">
        <v>64</v>
      </c>
      <c r="N90" s="91">
        <v>140</v>
      </c>
      <c r="O90" s="91">
        <v>60</v>
      </c>
      <c r="P90" s="91">
        <v>25</v>
      </c>
      <c r="Q90" s="91">
        <v>45</v>
      </c>
      <c r="R90" s="91">
        <v>15</v>
      </c>
      <c r="S90" s="91">
        <v>0</v>
      </c>
      <c r="T90" s="91">
        <v>180</v>
      </c>
      <c r="U90" s="91">
        <v>59</v>
      </c>
      <c r="V90" s="91">
        <v>100</v>
      </c>
      <c r="W90" s="91">
        <v>48</v>
      </c>
      <c r="X90" s="91">
        <v>0</v>
      </c>
      <c r="Y90" s="91">
        <v>0</v>
      </c>
      <c r="Z90" s="1">
        <v>0</v>
      </c>
      <c r="AA90" s="1">
        <v>0</v>
      </c>
    </row>
    <row r="91" spans="7:27" ht="15">
      <c r="G91" s="90">
        <v>39652</v>
      </c>
      <c r="H91" s="91">
        <v>330</v>
      </c>
      <c r="I91" s="91">
        <v>426</v>
      </c>
      <c r="J91" s="91">
        <v>200</v>
      </c>
      <c r="K91" s="91">
        <v>400</v>
      </c>
      <c r="L91" s="91">
        <v>66</v>
      </c>
      <c r="M91" s="91">
        <v>64</v>
      </c>
      <c r="N91" s="91">
        <v>140</v>
      </c>
      <c r="O91" s="91">
        <v>60</v>
      </c>
      <c r="P91" s="91">
        <v>25</v>
      </c>
      <c r="Q91" s="91">
        <v>45</v>
      </c>
      <c r="R91" s="91">
        <v>15</v>
      </c>
      <c r="S91" s="91">
        <v>0</v>
      </c>
      <c r="T91" s="91">
        <v>180</v>
      </c>
      <c r="U91" s="91">
        <v>59</v>
      </c>
      <c r="V91" s="91">
        <v>100</v>
      </c>
      <c r="W91" s="91">
        <v>48</v>
      </c>
      <c r="X91" s="91">
        <v>0</v>
      </c>
      <c r="Y91" s="91">
        <v>0</v>
      </c>
      <c r="Z91" s="1">
        <v>0</v>
      </c>
      <c r="AA91" s="1">
        <v>0</v>
      </c>
    </row>
    <row r="92" spans="7:27" ht="15">
      <c r="G92" s="90">
        <v>39653</v>
      </c>
      <c r="H92" s="91">
        <v>330</v>
      </c>
      <c r="I92" s="91">
        <v>426</v>
      </c>
      <c r="J92" s="91">
        <v>200</v>
      </c>
      <c r="K92" s="91">
        <v>400</v>
      </c>
      <c r="L92" s="91">
        <v>66</v>
      </c>
      <c r="M92" s="91">
        <v>64</v>
      </c>
      <c r="N92" s="91">
        <v>140</v>
      </c>
      <c r="O92" s="91">
        <v>60</v>
      </c>
      <c r="P92" s="91">
        <v>25</v>
      </c>
      <c r="Q92" s="91">
        <v>45</v>
      </c>
      <c r="R92" s="91">
        <v>15</v>
      </c>
      <c r="S92" s="91">
        <v>0</v>
      </c>
      <c r="T92" s="91">
        <v>180</v>
      </c>
      <c r="U92" s="91">
        <v>59</v>
      </c>
      <c r="V92" s="91">
        <v>100</v>
      </c>
      <c r="W92" s="91">
        <v>48</v>
      </c>
      <c r="X92" s="91">
        <v>0</v>
      </c>
      <c r="Y92" s="91">
        <v>0</v>
      </c>
      <c r="Z92" s="1">
        <v>0</v>
      </c>
      <c r="AA92" s="1">
        <v>0</v>
      </c>
    </row>
    <row r="93" spans="7:27" ht="15">
      <c r="G93" s="90">
        <v>39654</v>
      </c>
      <c r="H93" s="91">
        <v>330</v>
      </c>
      <c r="I93" s="91">
        <v>426</v>
      </c>
      <c r="J93" s="91">
        <v>200</v>
      </c>
      <c r="K93" s="91">
        <v>400</v>
      </c>
      <c r="L93" s="91">
        <v>66</v>
      </c>
      <c r="M93" s="91">
        <v>64</v>
      </c>
      <c r="N93" s="91">
        <v>140</v>
      </c>
      <c r="O93" s="91">
        <v>60</v>
      </c>
      <c r="P93" s="91">
        <v>25</v>
      </c>
      <c r="Q93" s="91">
        <v>45</v>
      </c>
      <c r="R93" s="91">
        <v>15</v>
      </c>
      <c r="S93" s="91">
        <v>100</v>
      </c>
      <c r="T93" s="91">
        <v>180</v>
      </c>
      <c r="U93" s="91">
        <v>59</v>
      </c>
      <c r="V93" s="91">
        <v>100</v>
      </c>
      <c r="W93" s="91">
        <v>0</v>
      </c>
      <c r="X93" s="91">
        <v>0</v>
      </c>
      <c r="Y93" s="91">
        <v>0</v>
      </c>
      <c r="Z93" s="1">
        <v>0</v>
      </c>
      <c r="AA93" s="1">
        <v>0</v>
      </c>
    </row>
    <row r="94" spans="7:27" ht="15">
      <c r="G94" s="90">
        <v>39655</v>
      </c>
      <c r="H94" s="91">
        <v>330</v>
      </c>
      <c r="I94" s="91">
        <v>426</v>
      </c>
      <c r="J94" s="91">
        <v>200</v>
      </c>
      <c r="K94" s="91">
        <v>400</v>
      </c>
      <c r="L94" s="91">
        <v>66</v>
      </c>
      <c r="M94" s="91">
        <v>64</v>
      </c>
      <c r="N94" s="91">
        <v>140</v>
      </c>
      <c r="O94" s="91">
        <v>60</v>
      </c>
      <c r="P94" s="91">
        <v>25</v>
      </c>
      <c r="Q94" s="91">
        <v>45</v>
      </c>
      <c r="R94" s="91">
        <v>15</v>
      </c>
      <c r="S94" s="91">
        <v>100</v>
      </c>
      <c r="T94" s="91">
        <v>180</v>
      </c>
      <c r="U94" s="91">
        <v>59</v>
      </c>
      <c r="V94" s="91">
        <v>100</v>
      </c>
      <c r="W94" s="91">
        <v>0</v>
      </c>
      <c r="X94" s="91">
        <v>0</v>
      </c>
      <c r="Y94" s="91">
        <v>0</v>
      </c>
      <c r="Z94" s="1">
        <v>0</v>
      </c>
      <c r="AA94" s="1">
        <v>0</v>
      </c>
    </row>
    <row r="95" spans="7:27" ht="15">
      <c r="G95" s="90">
        <v>39656</v>
      </c>
      <c r="H95" s="91">
        <v>330</v>
      </c>
      <c r="I95" s="91">
        <v>426</v>
      </c>
      <c r="J95" s="91">
        <v>200</v>
      </c>
      <c r="K95" s="91">
        <v>400</v>
      </c>
      <c r="L95" s="91">
        <v>66</v>
      </c>
      <c r="M95" s="91">
        <v>64</v>
      </c>
      <c r="N95" s="91">
        <v>140</v>
      </c>
      <c r="O95" s="91">
        <v>60</v>
      </c>
      <c r="P95" s="91">
        <v>25</v>
      </c>
      <c r="Q95" s="91">
        <v>45</v>
      </c>
      <c r="R95" s="91">
        <v>15</v>
      </c>
      <c r="S95" s="91">
        <v>100</v>
      </c>
      <c r="T95" s="91">
        <v>180</v>
      </c>
      <c r="U95" s="91">
        <v>59</v>
      </c>
      <c r="V95" s="91">
        <v>100</v>
      </c>
      <c r="W95" s="91">
        <v>0</v>
      </c>
      <c r="X95" s="91">
        <v>0</v>
      </c>
      <c r="Y95" s="91">
        <v>0</v>
      </c>
      <c r="Z95" s="1">
        <v>0</v>
      </c>
      <c r="AA95" s="1">
        <v>0</v>
      </c>
    </row>
    <row r="96" spans="7:27" ht="15">
      <c r="G96" s="90">
        <v>39657</v>
      </c>
      <c r="H96" s="91">
        <v>330</v>
      </c>
      <c r="I96" s="91">
        <v>426</v>
      </c>
      <c r="J96" s="91">
        <v>200</v>
      </c>
      <c r="K96" s="91">
        <v>400</v>
      </c>
      <c r="L96" s="91">
        <v>66</v>
      </c>
      <c r="M96" s="91">
        <v>64</v>
      </c>
      <c r="N96" s="91">
        <v>140</v>
      </c>
      <c r="O96" s="91">
        <v>60</v>
      </c>
      <c r="P96" s="91">
        <v>25</v>
      </c>
      <c r="Q96" s="91">
        <v>45</v>
      </c>
      <c r="R96" s="91">
        <v>15</v>
      </c>
      <c r="S96" s="91">
        <v>100</v>
      </c>
      <c r="T96" s="91">
        <v>180</v>
      </c>
      <c r="U96" s="91">
        <v>59</v>
      </c>
      <c r="V96" s="91">
        <v>100</v>
      </c>
      <c r="W96" s="91">
        <v>0</v>
      </c>
      <c r="X96" s="91">
        <v>0</v>
      </c>
      <c r="Y96" s="91">
        <v>0</v>
      </c>
      <c r="Z96" s="1">
        <v>0</v>
      </c>
      <c r="AA96" s="1">
        <v>0</v>
      </c>
    </row>
    <row r="97" spans="7:27" ht="15">
      <c r="G97" s="90">
        <v>39658</v>
      </c>
      <c r="H97" s="91">
        <v>330</v>
      </c>
      <c r="I97" s="91">
        <v>426</v>
      </c>
      <c r="J97" s="91">
        <v>200</v>
      </c>
      <c r="K97" s="91">
        <v>400</v>
      </c>
      <c r="L97" s="91">
        <v>66</v>
      </c>
      <c r="M97" s="91">
        <v>64</v>
      </c>
      <c r="N97" s="91">
        <v>140</v>
      </c>
      <c r="O97" s="91">
        <v>60</v>
      </c>
      <c r="P97" s="91">
        <v>25</v>
      </c>
      <c r="Q97" s="91">
        <v>45</v>
      </c>
      <c r="R97" s="91">
        <v>15</v>
      </c>
      <c r="S97" s="91">
        <v>100</v>
      </c>
      <c r="T97" s="91">
        <v>180</v>
      </c>
      <c r="U97" s="91">
        <v>59</v>
      </c>
      <c r="V97" s="91">
        <v>100</v>
      </c>
      <c r="W97" s="91">
        <v>53</v>
      </c>
      <c r="X97" s="91">
        <v>0</v>
      </c>
      <c r="Y97" s="91">
        <v>0</v>
      </c>
      <c r="Z97" s="1">
        <v>0</v>
      </c>
      <c r="AA97" s="1">
        <v>0</v>
      </c>
    </row>
    <row r="98" spans="7:27" ht="15">
      <c r="G98" s="90">
        <v>39659</v>
      </c>
      <c r="H98" s="91">
        <v>330</v>
      </c>
      <c r="I98" s="91">
        <v>426</v>
      </c>
      <c r="J98" s="91">
        <v>200</v>
      </c>
      <c r="K98" s="91">
        <v>400</v>
      </c>
      <c r="L98" s="91">
        <v>66</v>
      </c>
      <c r="M98" s="91">
        <v>64</v>
      </c>
      <c r="N98" s="91">
        <v>140</v>
      </c>
      <c r="O98" s="91">
        <v>60</v>
      </c>
      <c r="P98" s="91">
        <v>25</v>
      </c>
      <c r="Q98" s="91">
        <v>45</v>
      </c>
      <c r="R98" s="91">
        <v>15</v>
      </c>
      <c r="S98" s="91">
        <v>100</v>
      </c>
      <c r="T98" s="91">
        <v>180</v>
      </c>
      <c r="U98" s="91">
        <v>59</v>
      </c>
      <c r="V98" s="91">
        <v>100</v>
      </c>
      <c r="W98" s="91">
        <v>53</v>
      </c>
      <c r="X98" s="91">
        <v>0</v>
      </c>
      <c r="Y98" s="91">
        <v>0</v>
      </c>
      <c r="Z98" s="1">
        <v>0</v>
      </c>
      <c r="AA98" s="1">
        <v>0</v>
      </c>
    </row>
    <row r="99" spans="7:27" ht="15">
      <c r="G99" s="90">
        <v>39660</v>
      </c>
      <c r="H99" s="91">
        <v>330</v>
      </c>
      <c r="I99" s="91">
        <v>426</v>
      </c>
      <c r="J99" s="91">
        <v>200</v>
      </c>
      <c r="K99" s="91">
        <v>400</v>
      </c>
      <c r="L99" s="91">
        <v>66</v>
      </c>
      <c r="M99" s="91">
        <v>64</v>
      </c>
      <c r="N99" s="91">
        <v>140</v>
      </c>
      <c r="O99" s="91">
        <v>60</v>
      </c>
      <c r="P99" s="91">
        <v>25</v>
      </c>
      <c r="Q99" s="91">
        <v>45</v>
      </c>
      <c r="R99" s="91">
        <v>15</v>
      </c>
      <c r="S99" s="91">
        <v>100</v>
      </c>
      <c r="T99" s="91">
        <v>180</v>
      </c>
      <c r="U99" s="91">
        <v>59</v>
      </c>
      <c r="V99" s="91">
        <v>100</v>
      </c>
      <c r="W99" s="91">
        <v>53</v>
      </c>
      <c r="X99" s="91">
        <v>0</v>
      </c>
      <c r="Y99" s="91">
        <v>0</v>
      </c>
      <c r="Z99" s="1">
        <v>0</v>
      </c>
      <c r="AA99" s="1">
        <v>0</v>
      </c>
    </row>
    <row r="100" spans="7:27" ht="15">
      <c r="G100" s="90">
        <v>39661</v>
      </c>
      <c r="H100" s="91">
        <v>330</v>
      </c>
      <c r="I100" s="91">
        <v>426</v>
      </c>
      <c r="J100" s="91">
        <v>200</v>
      </c>
      <c r="K100" s="91">
        <v>400</v>
      </c>
      <c r="L100" s="91">
        <v>66</v>
      </c>
      <c r="M100" s="91">
        <v>64</v>
      </c>
      <c r="N100" s="91">
        <v>140</v>
      </c>
      <c r="O100" s="91">
        <v>60</v>
      </c>
      <c r="P100" s="91">
        <v>25</v>
      </c>
      <c r="Q100" s="91">
        <v>45</v>
      </c>
      <c r="R100" s="91">
        <v>15</v>
      </c>
      <c r="S100" s="91">
        <v>100</v>
      </c>
      <c r="T100" s="91">
        <v>180</v>
      </c>
      <c r="U100" s="91">
        <v>59</v>
      </c>
      <c r="V100" s="91">
        <v>100</v>
      </c>
      <c r="W100" s="91">
        <v>53</v>
      </c>
      <c r="X100" s="91">
        <v>0</v>
      </c>
      <c r="Y100" s="91">
        <v>0</v>
      </c>
      <c r="Z100" s="1">
        <v>0</v>
      </c>
      <c r="AA100" s="1">
        <v>0</v>
      </c>
    </row>
    <row r="101" spans="7:27" ht="15">
      <c r="G101" s="90">
        <v>39662</v>
      </c>
      <c r="H101" s="91">
        <v>330</v>
      </c>
      <c r="I101" s="91">
        <v>426</v>
      </c>
      <c r="J101" s="91">
        <v>200</v>
      </c>
      <c r="K101" s="91">
        <v>400</v>
      </c>
      <c r="L101" s="91">
        <v>66</v>
      </c>
      <c r="M101" s="91">
        <v>64</v>
      </c>
      <c r="N101" s="91">
        <v>140</v>
      </c>
      <c r="O101" s="91">
        <v>60</v>
      </c>
      <c r="P101" s="91">
        <v>25</v>
      </c>
      <c r="Q101" s="91">
        <v>45</v>
      </c>
      <c r="R101" s="91">
        <v>15</v>
      </c>
      <c r="S101" s="91">
        <v>100</v>
      </c>
      <c r="T101" s="91">
        <v>180</v>
      </c>
      <c r="U101" s="91">
        <v>59</v>
      </c>
      <c r="V101" s="91">
        <v>100</v>
      </c>
      <c r="W101" s="91">
        <v>53</v>
      </c>
      <c r="X101" s="91">
        <v>0</v>
      </c>
      <c r="Y101" s="91">
        <v>0</v>
      </c>
      <c r="Z101" s="1">
        <v>0</v>
      </c>
      <c r="AA101" s="1">
        <v>0</v>
      </c>
    </row>
    <row r="102" spans="7:27" ht="15">
      <c r="G102" s="90">
        <v>39663</v>
      </c>
      <c r="H102" s="91">
        <v>330</v>
      </c>
      <c r="I102" s="91">
        <v>426</v>
      </c>
      <c r="J102" s="91">
        <v>200</v>
      </c>
      <c r="K102" s="91">
        <v>400</v>
      </c>
      <c r="L102" s="91">
        <v>66</v>
      </c>
      <c r="M102" s="91">
        <v>64</v>
      </c>
      <c r="N102" s="91">
        <v>140</v>
      </c>
      <c r="O102" s="91">
        <v>60</v>
      </c>
      <c r="P102" s="91">
        <v>25</v>
      </c>
      <c r="Q102" s="91">
        <v>45</v>
      </c>
      <c r="R102" s="91">
        <v>15</v>
      </c>
      <c r="S102" s="91">
        <v>100</v>
      </c>
      <c r="T102" s="91">
        <v>180</v>
      </c>
      <c r="U102" s="91">
        <v>59</v>
      </c>
      <c r="V102" s="91">
        <v>100</v>
      </c>
      <c r="W102" s="91">
        <v>53</v>
      </c>
      <c r="X102" s="91">
        <v>0</v>
      </c>
      <c r="Y102" s="91">
        <v>0</v>
      </c>
      <c r="Z102" s="1">
        <v>0</v>
      </c>
      <c r="AA102" s="1">
        <v>0</v>
      </c>
    </row>
    <row r="103" spans="7:27" ht="15">
      <c r="G103" s="90">
        <v>39664</v>
      </c>
      <c r="H103" s="91">
        <v>330</v>
      </c>
      <c r="I103" s="91">
        <v>426</v>
      </c>
      <c r="J103" s="91">
        <v>200</v>
      </c>
      <c r="K103" s="91">
        <v>400</v>
      </c>
      <c r="L103" s="91">
        <v>66</v>
      </c>
      <c r="M103" s="91">
        <v>64</v>
      </c>
      <c r="N103" s="91">
        <v>140</v>
      </c>
      <c r="O103" s="91">
        <v>60</v>
      </c>
      <c r="P103" s="1">
        <v>45</v>
      </c>
      <c r="Q103" s="91">
        <v>45</v>
      </c>
      <c r="R103" s="91">
        <v>15</v>
      </c>
      <c r="S103" s="91">
        <v>100</v>
      </c>
      <c r="T103" s="91">
        <v>180</v>
      </c>
      <c r="U103" s="91">
        <v>59</v>
      </c>
      <c r="V103" s="91">
        <v>100</v>
      </c>
      <c r="W103" s="91">
        <v>53</v>
      </c>
      <c r="X103" s="91">
        <v>0</v>
      </c>
      <c r="Y103" s="91">
        <v>0</v>
      </c>
      <c r="Z103" s="1">
        <v>0</v>
      </c>
      <c r="AA103" s="1">
        <v>0</v>
      </c>
    </row>
    <row r="104" spans="7:27" ht="15">
      <c r="G104" s="90">
        <v>39665</v>
      </c>
      <c r="H104" s="91">
        <v>330</v>
      </c>
      <c r="I104" s="91">
        <v>426</v>
      </c>
      <c r="J104" s="91">
        <v>200</v>
      </c>
      <c r="K104" s="91">
        <v>400</v>
      </c>
      <c r="L104" s="91">
        <v>66</v>
      </c>
      <c r="M104" s="91">
        <v>64</v>
      </c>
      <c r="N104" s="91">
        <v>140</v>
      </c>
      <c r="O104" s="91">
        <v>60</v>
      </c>
      <c r="P104" s="1">
        <v>45</v>
      </c>
      <c r="Q104" s="91">
        <v>45</v>
      </c>
      <c r="R104" s="91">
        <v>15</v>
      </c>
      <c r="S104" s="91">
        <v>100</v>
      </c>
      <c r="T104" s="91">
        <v>180</v>
      </c>
      <c r="U104" s="91">
        <v>59</v>
      </c>
      <c r="V104" s="91">
        <v>100</v>
      </c>
      <c r="W104" s="91">
        <v>53</v>
      </c>
      <c r="X104" s="91">
        <v>0</v>
      </c>
      <c r="Y104" s="91">
        <v>0</v>
      </c>
      <c r="Z104" s="1">
        <v>0</v>
      </c>
      <c r="AA104" s="1">
        <v>0</v>
      </c>
    </row>
    <row r="105" spans="7:27" ht="15">
      <c r="G105" s="90">
        <v>39666</v>
      </c>
      <c r="H105" s="91">
        <v>330</v>
      </c>
      <c r="I105" s="91">
        <v>426</v>
      </c>
      <c r="J105" s="91">
        <v>200</v>
      </c>
      <c r="K105" s="91">
        <v>400</v>
      </c>
      <c r="L105" s="91">
        <v>66</v>
      </c>
      <c r="M105" s="91">
        <v>64</v>
      </c>
      <c r="N105" s="1">
        <v>183</v>
      </c>
      <c r="O105" s="91">
        <v>60</v>
      </c>
      <c r="P105" s="1">
        <v>45</v>
      </c>
      <c r="Q105" s="91">
        <v>85</v>
      </c>
      <c r="R105" s="91">
        <v>15</v>
      </c>
      <c r="S105" s="91">
        <v>100</v>
      </c>
      <c r="T105" s="91">
        <v>0</v>
      </c>
      <c r="U105" s="91">
        <v>59</v>
      </c>
      <c r="V105" s="91">
        <v>0</v>
      </c>
      <c r="W105" s="91">
        <v>53</v>
      </c>
      <c r="X105" s="91">
        <v>0</v>
      </c>
      <c r="Y105" s="91">
        <v>0</v>
      </c>
      <c r="Z105" s="1">
        <v>82</v>
      </c>
      <c r="AA105" s="1">
        <v>0</v>
      </c>
    </row>
    <row r="106" spans="7:27" ht="15">
      <c r="G106" s="90">
        <v>39667</v>
      </c>
      <c r="H106" s="1">
        <v>330</v>
      </c>
      <c r="I106" s="91">
        <v>426</v>
      </c>
      <c r="J106" s="91">
        <v>200</v>
      </c>
      <c r="K106" s="91">
        <v>400</v>
      </c>
      <c r="L106" s="91">
        <v>66</v>
      </c>
      <c r="M106" s="91">
        <v>64</v>
      </c>
      <c r="N106" s="1">
        <v>183</v>
      </c>
      <c r="O106" s="91">
        <v>60</v>
      </c>
      <c r="P106" s="1">
        <v>45</v>
      </c>
      <c r="Q106" s="91">
        <v>85</v>
      </c>
      <c r="R106" s="91">
        <v>15</v>
      </c>
      <c r="S106" s="91">
        <v>100</v>
      </c>
      <c r="T106" s="91">
        <v>0</v>
      </c>
      <c r="U106" s="91">
        <v>59</v>
      </c>
      <c r="V106" s="91">
        <v>0</v>
      </c>
      <c r="W106" s="91">
        <v>53</v>
      </c>
      <c r="X106" s="91">
        <v>0</v>
      </c>
      <c r="Y106" s="91">
        <v>0</v>
      </c>
      <c r="Z106" s="1">
        <v>82</v>
      </c>
      <c r="AA106" s="1">
        <v>0</v>
      </c>
    </row>
    <row r="107" spans="7:27" ht="15">
      <c r="G107" s="90">
        <v>39668</v>
      </c>
      <c r="H107" s="1">
        <v>270</v>
      </c>
      <c r="I107" s="91">
        <v>426</v>
      </c>
      <c r="J107" s="91">
        <v>200</v>
      </c>
      <c r="K107" s="91">
        <v>400</v>
      </c>
      <c r="L107" s="91">
        <v>66</v>
      </c>
      <c r="M107" s="91">
        <v>64</v>
      </c>
      <c r="N107" s="1">
        <v>183</v>
      </c>
      <c r="O107" s="91">
        <v>60</v>
      </c>
      <c r="P107" s="1">
        <v>45</v>
      </c>
      <c r="Q107" s="91">
        <v>85</v>
      </c>
      <c r="R107" s="91">
        <v>15</v>
      </c>
      <c r="S107" s="91">
        <v>100</v>
      </c>
      <c r="T107" s="91">
        <v>0</v>
      </c>
      <c r="U107" s="91">
        <v>59</v>
      </c>
      <c r="V107" s="91">
        <v>0</v>
      </c>
      <c r="W107" s="91">
        <v>53</v>
      </c>
      <c r="X107" s="91">
        <v>0</v>
      </c>
      <c r="Y107" s="91">
        <v>0</v>
      </c>
      <c r="Z107" s="1">
        <v>82</v>
      </c>
      <c r="AA107" s="1">
        <v>630</v>
      </c>
    </row>
    <row r="108" spans="7:27" ht="15">
      <c r="G108" s="90">
        <v>39669</v>
      </c>
      <c r="H108" s="1">
        <v>270</v>
      </c>
      <c r="I108" s="91">
        <v>426</v>
      </c>
      <c r="J108" s="91">
        <v>200</v>
      </c>
      <c r="K108" s="91">
        <v>400</v>
      </c>
      <c r="L108" s="91">
        <v>66</v>
      </c>
      <c r="M108" s="91">
        <v>64</v>
      </c>
      <c r="N108" s="1">
        <v>183</v>
      </c>
      <c r="O108" s="91">
        <v>60</v>
      </c>
      <c r="P108" s="1">
        <v>45</v>
      </c>
      <c r="Q108" s="91">
        <v>85</v>
      </c>
      <c r="R108" s="91">
        <v>15</v>
      </c>
      <c r="S108" s="91">
        <v>100</v>
      </c>
      <c r="T108" s="91">
        <v>0</v>
      </c>
      <c r="U108" s="91">
        <v>59</v>
      </c>
      <c r="V108" s="91">
        <v>0</v>
      </c>
      <c r="W108" s="91">
        <v>53</v>
      </c>
      <c r="X108" s="91">
        <v>0</v>
      </c>
      <c r="Y108" s="91">
        <v>0</v>
      </c>
      <c r="Z108" s="1">
        <v>82</v>
      </c>
      <c r="AA108" s="1">
        <v>630</v>
      </c>
    </row>
    <row r="109" spans="7:27" ht="15">
      <c r="G109" s="90">
        <v>39670</v>
      </c>
      <c r="H109" s="1">
        <v>270</v>
      </c>
      <c r="I109" s="91">
        <v>426</v>
      </c>
      <c r="J109" s="91">
        <v>200</v>
      </c>
      <c r="K109" s="91">
        <v>400</v>
      </c>
      <c r="L109" s="91">
        <v>66</v>
      </c>
      <c r="M109" s="91">
        <v>64</v>
      </c>
      <c r="N109" s="1">
        <v>183</v>
      </c>
      <c r="O109" s="91">
        <v>60</v>
      </c>
      <c r="P109" s="1">
        <v>45</v>
      </c>
      <c r="Q109" s="91">
        <v>85</v>
      </c>
      <c r="R109" s="91">
        <v>15</v>
      </c>
      <c r="S109" s="91">
        <v>100</v>
      </c>
      <c r="T109" s="91">
        <v>0</v>
      </c>
      <c r="U109" s="91">
        <v>59</v>
      </c>
      <c r="V109" s="91">
        <v>0</v>
      </c>
      <c r="W109" s="91">
        <v>53</v>
      </c>
      <c r="X109" s="91">
        <v>0</v>
      </c>
      <c r="Y109" s="91">
        <v>0</v>
      </c>
      <c r="Z109" s="1">
        <v>82</v>
      </c>
      <c r="AA109" s="1">
        <v>630</v>
      </c>
    </row>
    <row r="110" spans="7:27" ht="15">
      <c r="G110" s="90">
        <v>39671</v>
      </c>
      <c r="H110" s="1">
        <v>270</v>
      </c>
      <c r="I110" s="91">
        <v>426</v>
      </c>
      <c r="J110" s="91">
        <v>200</v>
      </c>
      <c r="K110" s="91">
        <v>400</v>
      </c>
      <c r="L110" s="91">
        <v>66</v>
      </c>
      <c r="M110" s="91">
        <v>64</v>
      </c>
      <c r="N110" s="1">
        <v>183</v>
      </c>
      <c r="O110" s="91">
        <v>60</v>
      </c>
      <c r="P110" s="1">
        <v>45</v>
      </c>
      <c r="Q110" s="91">
        <v>85</v>
      </c>
      <c r="R110" s="91">
        <v>15</v>
      </c>
      <c r="S110" s="1">
        <v>0</v>
      </c>
      <c r="T110" s="91">
        <v>0</v>
      </c>
      <c r="U110" s="91">
        <v>59</v>
      </c>
      <c r="V110" s="91">
        <v>0</v>
      </c>
      <c r="W110" s="91">
        <v>53</v>
      </c>
      <c r="X110" s="91">
        <v>0</v>
      </c>
      <c r="Y110" s="91">
        <v>0</v>
      </c>
      <c r="Z110" s="1">
        <v>82</v>
      </c>
      <c r="AA110" s="1">
        <v>900</v>
      </c>
    </row>
    <row r="111" spans="7:27" ht="15">
      <c r="G111" s="90">
        <v>39672</v>
      </c>
      <c r="H111" s="1">
        <v>270</v>
      </c>
      <c r="I111" s="91">
        <v>426</v>
      </c>
      <c r="J111" s="91">
        <v>200</v>
      </c>
      <c r="K111" s="91">
        <v>400</v>
      </c>
      <c r="L111" s="91">
        <v>66</v>
      </c>
      <c r="M111" s="91">
        <v>64</v>
      </c>
      <c r="N111" s="1">
        <v>183</v>
      </c>
      <c r="O111" s="91">
        <v>60</v>
      </c>
      <c r="P111" s="1">
        <v>45</v>
      </c>
      <c r="Q111" s="91">
        <v>85</v>
      </c>
      <c r="R111" s="91">
        <v>15</v>
      </c>
      <c r="S111" s="1">
        <v>0</v>
      </c>
      <c r="T111" s="91">
        <v>0</v>
      </c>
      <c r="U111" s="91">
        <v>59</v>
      </c>
      <c r="V111" s="91">
        <v>0</v>
      </c>
      <c r="W111" s="91">
        <v>53</v>
      </c>
      <c r="X111" s="91">
        <v>0</v>
      </c>
      <c r="Y111" s="91">
        <v>0</v>
      </c>
      <c r="Z111" s="1">
        <v>82</v>
      </c>
      <c r="AA111" s="1">
        <v>900</v>
      </c>
    </row>
    <row r="112" spans="7:27" ht="15">
      <c r="G112" s="90">
        <v>39673</v>
      </c>
      <c r="H112" s="1">
        <v>270</v>
      </c>
      <c r="I112" s="91">
        <v>426</v>
      </c>
      <c r="J112" s="91">
        <v>200</v>
      </c>
      <c r="K112" s="91">
        <v>400</v>
      </c>
      <c r="L112" s="91">
        <v>66</v>
      </c>
      <c r="M112" s="91">
        <v>64</v>
      </c>
      <c r="N112" s="1">
        <v>183</v>
      </c>
      <c r="O112" s="91">
        <v>60</v>
      </c>
      <c r="P112" s="1">
        <v>45</v>
      </c>
      <c r="Q112" s="91">
        <v>85</v>
      </c>
      <c r="R112" s="91">
        <v>15</v>
      </c>
      <c r="S112" s="1">
        <v>0</v>
      </c>
      <c r="T112" s="91">
        <v>0</v>
      </c>
      <c r="U112" s="91">
        <v>59</v>
      </c>
      <c r="V112" s="91">
        <v>0</v>
      </c>
      <c r="W112" s="91">
        <v>53</v>
      </c>
      <c r="X112" s="91">
        <v>0</v>
      </c>
      <c r="Y112" s="91">
        <v>0</v>
      </c>
      <c r="Z112" s="1">
        <v>82</v>
      </c>
      <c r="AA112" s="1">
        <v>900</v>
      </c>
    </row>
    <row r="113" spans="7:27" ht="15">
      <c r="G113" s="90">
        <v>39674</v>
      </c>
      <c r="H113" s="1">
        <v>270</v>
      </c>
      <c r="I113" s="91">
        <v>426</v>
      </c>
      <c r="J113" s="91">
        <v>200</v>
      </c>
      <c r="K113" s="91">
        <v>400</v>
      </c>
      <c r="L113" s="91">
        <v>66</v>
      </c>
      <c r="M113" s="91">
        <v>64</v>
      </c>
      <c r="N113" s="1">
        <v>183</v>
      </c>
      <c r="O113" s="91">
        <v>60</v>
      </c>
      <c r="P113" s="1">
        <v>45</v>
      </c>
      <c r="Q113" s="91">
        <v>85</v>
      </c>
      <c r="R113" s="91">
        <v>15</v>
      </c>
      <c r="S113" s="1">
        <v>0</v>
      </c>
      <c r="T113" s="91">
        <v>0</v>
      </c>
      <c r="U113" s="91">
        <v>59</v>
      </c>
      <c r="V113" s="91">
        <v>0</v>
      </c>
      <c r="W113" s="91">
        <v>53</v>
      </c>
      <c r="X113" s="91">
        <v>0</v>
      </c>
      <c r="Y113" s="91">
        <v>0</v>
      </c>
      <c r="Z113" s="1">
        <v>82</v>
      </c>
      <c r="AA113" s="1">
        <v>900</v>
      </c>
    </row>
    <row r="114" spans="7:25" ht="15">
      <c r="G114" s="90"/>
      <c r="I114" s="91"/>
      <c r="J114" s="91"/>
      <c r="K114" s="91"/>
      <c r="L114" s="91"/>
      <c r="M114" s="91"/>
      <c r="O114" s="91"/>
      <c r="Q114" s="91"/>
      <c r="R114" s="91"/>
      <c r="T114" s="91"/>
      <c r="U114" s="91"/>
      <c r="V114" s="91"/>
      <c r="W114" s="91"/>
      <c r="X114" s="91"/>
      <c r="Y114" s="91"/>
    </row>
    <row r="204" spans="1:26" s="2" customFormat="1" ht="37.5" customHeight="1">
      <c r="A204" s="2" t="s">
        <v>53</v>
      </c>
      <c r="B204" s="2" t="s">
        <v>54</v>
      </c>
      <c r="C204" s="2" t="s">
        <v>13</v>
      </c>
      <c r="D204" s="2" t="s">
        <v>55</v>
      </c>
      <c r="E204" s="2" t="s">
        <v>56</v>
      </c>
      <c r="F204" s="2" t="s">
        <v>57</v>
      </c>
      <c r="G204" s="2" t="s">
        <v>52</v>
      </c>
      <c r="H204" s="2" t="s">
        <v>35</v>
      </c>
      <c r="I204" s="2" t="s">
        <v>39</v>
      </c>
      <c r="J204" s="2" t="s">
        <v>37</v>
      </c>
      <c r="K204" s="2" t="s">
        <v>34</v>
      </c>
      <c r="L204" s="2" t="s">
        <v>42</v>
      </c>
      <c r="M204" s="2" t="s">
        <v>41</v>
      </c>
      <c r="N204" s="2" t="s">
        <v>36</v>
      </c>
      <c r="O204" s="2" t="s">
        <v>45</v>
      </c>
      <c r="P204" s="2" t="s">
        <v>44</v>
      </c>
      <c r="Q204" s="2" t="s">
        <v>47</v>
      </c>
      <c r="R204" s="2" t="s">
        <v>43</v>
      </c>
      <c r="S204" s="2" t="s">
        <v>46</v>
      </c>
      <c r="T204" s="2" t="s">
        <v>40</v>
      </c>
      <c r="U204" s="2" t="s">
        <v>48</v>
      </c>
      <c r="V204" s="2" t="s">
        <v>38</v>
      </c>
      <c r="W204" s="2" t="s">
        <v>33</v>
      </c>
      <c r="X204" s="2" t="s">
        <v>32</v>
      </c>
      <c r="Y204" s="2" t="s">
        <v>31</v>
      </c>
      <c r="Z204" s="2" t="s">
        <v>58</v>
      </c>
    </row>
    <row r="205" spans="1:26" ht="15">
      <c r="A205" s="1">
        <f>SUMPRODUCT(H77:Y77,H205:Y205)</f>
        <v>1284</v>
      </c>
      <c r="B205" s="1">
        <f>SUMPRODUCT(H77:Y77,H206:Y206)</f>
        <v>1339.5</v>
      </c>
      <c r="C205" s="1">
        <f>B205/A205</f>
        <v>1.0432242990654206</v>
      </c>
      <c r="D205" s="1">
        <f aca="true" t="shared" si="17" ref="D205:D224">E206/E205</f>
        <v>1.0040868659347704</v>
      </c>
      <c r="E205" s="1">
        <f>[1]!RCHGetYahooHistory("SPY",YEAR(G205),MONTH(G205),DAY(G205),YEAR(G205),MONTH(G205),DAY(G205),"w","a",0,0,0)/1.2479</f>
        <v>100</v>
      </c>
      <c r="F205" s="1">
        <f>E205</f>
        <v>100</v>
      </c>
      <c r="G205" s="90">
        <v>39638</v>
      </c>
      <c r="H205" s="1">
        <v>26.01</v>
      </c>
      <c r="I205" s="1">
        <v>15.23</v>
      </c>
      <c r="J205" s="1">
        <v>25.51</v>
      </c>
      <c r="K205" s="1">
        <v>8.56</v>
      </c>
      <c r="L205" s="1">
        <v>45.93</v>
      </c>
      <c r="M205" s="1">
        <v>43.04</v>
      </c>
      <c r="N205" s="1">
        <v>17.36</v>
      </c>
      <c r="O205" s="1">
        <v>38.23</v>
      </c>
      <c r="P205" s="1">
        <v>78.03</v>
      </c>
      <c r="Q205" s="1">
        <v>39.9</v>
      </c>
      <c r="R205" s="1">
        <v>128.33</v>
      </c>
      <c r="S205" s="1">
        <v>15.41</v>
      </c>
      <c r="T205" s="1">
        <v>9.73</v>
      </c>
      <c r="U205" s="1">
        <v>30.08</v>
      </c>
      <c r="V205" s="1">
        <v>17.1</v>
      </c>
      <c r="W205" s="1">
        <v>37.84</v>
      </c>
      <c r="X205" s="1">
        <v>52.48</v>
      </c>
      <c r="Y205" s="1">
        <v>152.23</v>
      </c>
      <c r="Z205" s="1">
        <f>[1]!RCHGetYahooHistory(Z$204,YEAR($G205),MONTH($G205),DAY($G205),YEAR($G205),MONTH($G205),DAY($G205),"w","a",0,0,0)</f>
        <v>24.13</v>
      </c>
    </row>
    <row r="206" spans="1:26" ht="15">
      <c r="A206" s="1">
        <f>SUMPRODUCT(H78:Y78,H206:Y206)</f>
        <v>2045.5</v>
      </c>
      <c r="B206" s="1">
        <f>SUMPRODUCT(H78:Y78,H207:Y207)</f>
        <v>2014.8000000000002</v>
      </c>
      <c r="C206" s="1">
        <f aca="true" t="shared" si="18" ref="C206:C218">B206/A206</f>
        <v>0.9849914446345638</v>
      </c>
      <c r="D206" s="1">
        <f t="shared" si="17"/>
        <v>0.9883479648842778</v>
      </c>
      <c r="E206" s="1">
        <f>[1]!RCHGetYahooHistory("SPY",YEAR(G206),MONTH(G206),DAY(G206),YEAR(G206),MONTH(G206),DAY(G206),"w","a",0,0,0)/1.2479</f>
        <v>100.40868659347704</v>
      </c>
      <c r="F206" s="1">
        <f aca="true" t="shared" si="19" ref="F206:F218">F205*C205</f>
        <v>104.32242990654206</v>
      </c>
      <c r="G206" s="90">
        <v>39639</v>
      </c>
      <c r="H206" s="1">
        <v>26</v>
      </c>
      <c r="I206" s="1">
        <v>15.2</v>
      </c>
      <c r="J206" s="1">
        <v>24.7</v>
      </c>
      <c r="K206" s="1">
        <v>8.93</v>
      </c>
      <c r="L206" s="1">
        <v>46.97</v>
      </c>
      <c r="M206" s="1">
        <v>43.46</v>
      </c>
      <c r="N206" s="1">
        <v>17.65</v>
      </c>
      <c r="O206" s="1">
        <v>39.03</v>
      </c>
      <c r="P206" s="1">
        <v>78.56</v>
      </c>
      <c r="Q206" s="1">
        <v>41.23</v>
      </c>
      <c r="R206" s="1">
        <v>131</v>
      </c>
      <c r="S206" s="1">
        <v>16.09</v>
      </c>
      <c r="T206" s="1">
        <v>9.5</v>
      </c>
      <c r="U206" s="1">
        <v>30.25</v>
      </c>
      <c r="V206" s="1">
        <v>13.02</v>
      </c>
      <c r="W206" s="1">
        <v>40.43</v>
      </c>
      <c r="X206" s="1">
        <v>55.79</v>
      </c>
      <c r="Y206" s="1">
        <v>156.85</v>
      </c>
      <c r="Z206" s="1">
        <f>[1]!RCHGetYahooHistory(Z$204,YEAR($G206),MONTH($G206),DAY($G206),YEAR($G206),MONTH($G206),DAY($G206),"w","a",0,0,0)</f>
        <v>23.7</v>
      </c>
    </row>
    <row r="207" spans="1:26" ht="15">
      <c r="A207" s="1">
        <f>SUMPRODUCT(H79:Y79,H207:Y207)</f>
        <v>2014.8000000000002</v>
      </c>
      <c r="B207" s="1">
        <f>SUMPRODUCT(H79:Y79,H208:Y208)</f>
        <v>2030.3</v>
      </c>
      <c r="C207" s="1">
        <f t="shared" si="18"/>
        <v>1.0076930712725827</v>
      </c>
      <c r="D207" s="1">
        <f t="shared" si="17"/>
        <v>0.9909560723514211</v>
      </c>
      <c r="E207" s="1">
        <f>[1]!RCHGetYahooHistory("SPY",YEAR(G207),MONTH(G207),DAY(G207),YEAR(G207),MONTH(G207),DAY(G207),"w","a",0,0,0)/1.2479</f>
        <v>99.2387210513663</v>
      </c>
      <c r="F207" s="1">
        <f t="shared" si="19"/>
        <v>102.75670094143288</v>
      </c>
      <c r="G207" s="90">
        <v>39640</v>
      </c>
      <c r="H207" s="1">
        <v>26.26</v>
      </c>
      <c r="I207" s="1">
        <v>15.5</v>
      </c>
      <c r="J207" s="1">
        <v>24.01</v>
      </c>
      <c r="K207" s="1">
        <v>8.72</v>
      </c>
      <c r="L207" s="1">
        <v>48.98</v>
      </c>
      <c r="M207" s="1">
        <v>43.59</v>
      </c>
      <c r="N207" s="1">
        <v>17.67</v>
      </c>
      <c r="O207" s="1">
        <v>39.55</v>
      </c>
      <c r="P207" s="1">
        <v>80.23</v>
      </c>
      <c r="Q207" s="1">
        <v>41.78</v>
      </c>
      <c r="R207" s="1">
        <v>130.84</v>
      </c>
      <c r="S207" s="1">
        <v>16.36</v>
      </c>
      <c r="T207" s="1">
        <v>9.43</v>
      </c>
      <c r="U207" s="1">
        <v>28.16</v>
      </c>
      <c r="V207" s="1">
        <v>12.29</v>
      </c>
      <c r="W207" s="1">
        <v>39.89</v>
      </c>
      <c r="X207" s="1">
        <v>54.77</v>
      </c>
      <c r="Y207" s="1">
        <v>159.05</v>
      </c>
      <c r="Z207" s="1">
        <f>[1]!RCHGetYahooHistory(Z$204,YEAR($G207),MONTH($G207),DAY($G207),YEAR($G207),MONTH($G207),DAY($G207),"w","a",0,0,0)</f>
        <v>24.33</v>
      </c>
    </row>
    <row r="208" spans="1:26" ht="15">
      <c r="A208" s="1">
        <f>SUMPRODUCT(H82:Y82,H208:Y208)</f>
        <v>23872.999999999996</v>
      </c>
      <c r="B208" s="1">
        <f>SUMPRODUCT(H82:Y82,H209:Y209)</f>
        <v>23805.54</v>
      </c>
      <c r="C208" s="1">
        <f t="shared" si="18"/>
        <v>0.9971742135466847</v>
      </c>
      <c r="D208" s="1">
        <f t="shared" si="17"/>
        <v>0.9859028683181225</v>
      </c>
      <c r="E208" s="1">
        <f>[1]!RCHGetYahooHistory("SPY",YEAR(G208),MONTH(G208),DAY(G208),YEAR(G208),MONTH(G208),DAY(G208),"w","a",0,0,0)/1.2479</f>
        <v>98.34121323824024</v>
      </c>
      <c r="F208" s="1">
        <f t="shared" si="19"/>
        <v>103.54721556551078</v>
      </c>
      <c r="G208" s="90">
        <v>39643</v>
      </c>
      <c r="H208" s="1">
        <v>28.56</v>
      </c>
      <c r="I208" s="1">
        <v>15.13</v>
      </c>
      <c r="J208" s="1">
        <v>25.02</v>
      </c>
      <c r="K208" s="1">
        <v>8.85</v>
      </c>
      <c r="L208" s="1">
        <v>52.1</v>
      </c>
      <c r="M208" s="1">
        <v>43.56</v>
      </c>
      <c r="N208" s="1">
        <v>17.57</v>
      </c>
      <c r="O208" s="1">
        <v>38.93</v>
      </c>
      <c r="P208" s="1">
        <v>81.19</v>
      </c>
      <c r="Q208" s="1">
        <v>40.69</v>
      </c>
      <c r="R208" s="1">
        <v>127.84</v>
      </c>
      <c r="S208" s="1">
        <v>16.13</v>
      </c>
      <c r="T208" s="1">
        <v>9.63</v>
      </c>
      <c r="U208" s="1">
        <v>28.14</v>
      </c>
      <c r="V208" s="1">
        <v>12.45</v>
      </c>
      <c r="W208" s="1">
        <v>41.35</v>
      </c>
      <c r="X208" s="1">
        <v>55</v>
      </c>
      <c r="Y208" s="1">
        <v>165.09</v>
      </c>
      <c r="Z208" s="1">
        <f>[1]!RCHGetYahooHistory(Z$204,YEAR($G208),MONTH($G208),DAY($G208),YEAR($G208),MONTH($G208),DAY($G208),"w","a",0,0,0)</f>
        <v>24.17</v>
      </c>
    </row>
    <row r="209" spans="1:26" ht="15">
      <c r="A209" s="1">
        <f>SUMPRODUCT(H83:Y83,H209:Y209)</f>
        <v>34031.89</v>
      </c>
      <c r="B209" s="1">
        <f>SUMPRODUCT(H83:Y83,H210:Y210)</f>
        <v>35272.87999999999</v>
      </c>
      <c r="C209" s="1">
        <f t="shared" si="18"/>
        <v>1.036465503385207</v>
      </c>
      <c r="D209" s="1">
        <f t="shared" si="17"/>
        <v>1.0245474832630797</v>
      </c>
      <c r="E209" s="1">
        <f>[1]!RCHGetYahooHistory("SPY",YEAR(G209),MONTH(G209),DAY(G209),YEAR(G209),MONTH(G209),DAY(G209),"w","a",0,0,0)/1.2479</f>
        <v>96.95488420546518</v>
      </c>
      <c r="F209" s="1">
        <f t="shared" si="19"/>
        <v>103.25461324648724</v>
      </c>
      <c r="G209" s="90">
        <v>39644</v>
      </c>
      <c r="H209" s="1">
        <v>28.55</v>
      </c>
      <c r="I209" s="1">
        <v>15.64</v>
      </c>
      <c r="J209" s="1">
        <v>25.59</v>
      </c>
      <c r="K209" s="1">
        <v>8.61</v>
      </c>
      <c r="L209" s="1">
        <v>52.74</v>
      </c>
      <c r="M209" s="1">
        <v>42.66</v>
      </c>
      <c r="N209" s="1">
        <v>18.86</v>
      </c>
      <c r="O209" s="1">
        <v>38.3</v>
      </c>
      <c r="P209" s="1">
        <v>83</v>
      </c>
      <c r="Q209" s="1">
        <v>40.05</v>
      </c>
      <c r="R209" s="1">
        <v>126.94</v>
      </c>
      <c r="S209" s="1">
        <v>15.64</v>
      </c>
      <c r="T209" s="1">
        <v>9.65</v>
      </c>
      <c r="U209" s="1">
        <v>27.71</v>
      </c>
      <c r="V209" s="1">
        <v>13.09</v>
      </c>
      <c r="W209" s="1">
        <v>40.4</v>
      </c>
      <c r="X209" s="1">
        <v>52</v>
      </c>
      <c r="Y209" s="1">
        <v>159.04</v>
      </c>
      <c r="Z209" s="1">
        <f>[1]!RCHGetYahooHistory(Z$204,YEAR($G209),MONTH($G209),DAY($G209),YEAR($G209),MONTH($G209),DAY($G209),"w","a",0,0,0)</f>
        <v>24.31</v>
      </c>
    </row>
    <row r="210" spans="1:26" ht="15">
      <c r="A210" s="1">
        <f>SUMPRODUCT(H84:Y84,H210:Y210)</f>
        <v>47478.07999999999</v>
      </c>
      <c r="B210" s="1">
        <f>SUMPRODUCT(H84:Y84,H211:Y211)</f>
        <v>48925.73</v>
      </c>
      <c r="C210" s="1">
        <f t="shared" si="18"/>
        <v>1.0304909128591555</v>
      </c>
      <c r="D210" s="1">
        <f t="shared" si="17"/>
        <v>1.0100032268473702</v>
      </c>
      <c r="E210" s="1">
        <f>[1]!RCHGetYahooHistory("SPY",YEAR(G210),MONTH(G210),DAY(G210),YEAR(G210),MONTH(G210),DAY(G210),"w","a",0,0,0)/1.2479</f>
        <v>99.33488260277265</v>
      </c>
      <c r="F210" s="1">
        <f t="shared" si="19"/>
        <v>107.01984469536526</v>
      </c>
      <c r="G210" s="90">
        <v>39645</v>
      </c>
      <c r="H210" s="1">
        <v>29.49</v>
      </c>
      <c r="I210" s="1">
        <v>16.82</v>
      </c>
      <c r="J210" s="1">
        <v>26.8</v>
      </c>
      <c r="K210" s="1">
        <v>8.99</v>
      </c>
      <c r="L210" s="1">
        <v>54.73</v>
      </c>
      <c r="M210" s="1">
        <v>48.47</v>
      </c>
      <c r="N210" s="1">
        <v>20.09</v>
      </c>
      <c r="O210" s="1">
        <v>39.19</v>
      </c>
      <c r="P210" s="1">
        <v>87.06</v>
      </c>
      <c r="Q210" s="1">
        <v>42.43</v>
      </c>
      <c r="R210" s="1">
        <v>129.29</v>
      </c>
      <c r="S210" s="1">
        <v>16.75</v>
      </c>
      <c r="T210" s="1">
        <v>9.59</v>
      </c>
      <c r="U210" s="1">
        <v>28.3</v>
      </c>
      <c r="V210" s="1">
        <v>13.66</v>
      </c>
      <c r="W210" s="1">
        <v>40.4</v>
      </c>
      <c r="X210" s="1">
        <v>52.04</v>
      </c>
      <c r="Y210" s="1">
        <v>158.81</v>
      </c>
      <c r="Z210" s="1">
        <f>[1]!RCHGetYahooHistory(Z$204,YEAR($G210),MONTH($G210),DAY($G210),YEAR($G210),MONTH($G210),DAY($G210),"w","a",0,0,0)</f>
        <v>27.24</v>
      </c>
    </row>
    <row r="211" spans="1:26" ht="15">
      <c r="A211" s="1">
        <f>SUMPRODUCT(H85:Y85,H211:Y211)</f>
        <v>50315.560000000005</v>
      </c>
      <c r="B211" s="1">
        <f>SUMPRODUCT(H85:Y85,H212:Y212)</f>
        <v>50259.20000000001</v>
      </c>
      <c r="C211" s="1">
        <f t="shared" si="18"/>
        <v>0.998879869368442</v>
      </c>
      <c r="D211" s="1">
        <f t="shared" si="17"/>
        <v>1.006230031948882</v>
      </c>
      <c r="E211" s="1">
        <f>[1]!RCHGetYahooHistory("SPY",YEAR(G211),MONTH(G211),DAY(G211),YEAR(G211),MONTH(G211),DAY(G211),"w","a",0,0,0)/1.2479</f>
        <v>100.32855196730507</v>
      </c>
      <c r="F211" s="1">
        <f t="shared" si="19"/>
        <v>110.282977454172</v>
      </c>
      <c r="G211" s="90">
        <v>39646</v>
      </c>
      <c r="H211" s="1">
        <v>31.7</v>
      </c>
      <c r="I211" s="1">
        <v>17.34</v>
      </c>
      <c r="J211" s="1">
        <v>27.58</v>
      </c>
      <c r="K211" s="1">
        <v>9.2</v>
      </c>
      <c r="L211" s="1">
        <v>54.44</v>
      </c>
      <c r="M211" s="1">
        <v>49.47</v>
      </c>
      <c r="N211" s="1">
        <v>20.6</v>
      </c>
      <c r="O211" s="1">
        <v>39.65</v>
      </c>
      <c r="P211" s="1">
        <v>88.86</v>
      </c>
      <c r="Q211" s="1">
        <v>43.86</v>
      </c>
      <c r="R211" s="1">
        <v>130.66</v>
      </c>
      <c r="S211" s="1">
        <v>17.75</v>
      </c>
      <c r="T211" s="1">
        <v>9.75</v>
      </c>
      <c r="U211" s="1">
        <v>28.72</v>
      </c>
      <c r="V211" s="1">
        <v>14.73</v>
      </c>
      <c r="W211" s="1">
        <v>40.07</v>
      </c>
      <c r="X211" s="1">
        <v>50.75</v>
      </c>
      <c r="Y211" s="1">
        <v>152.79</v>
      </c>
      <c r="Z211" s="1">
        <f>[1]!RCHGetYahooHistory(Z$204,YEAR($G211),MONTH($G211),DAY($G211),YEAR($G211),MONTH($G211),DAY($G211),"w","a",0,0,0)</f>
        <v>27.62</v>
      </c>
    </row>
    <row r="212" spans="1:26" ht="15">
      <c r="A212" s="1">
        <f>SUMPRODUCT(H86:Y86,H212:Y212)</f>
        <v>52030.740000000005</v>
      </c>
      <c r="B212" s="1">
        <f>SUMPRODUCT(H86:Y86,H213:Y213)</f>
        <v>52624</v>
      </c>
      <c r="C212" s="1">
        <f t="shared" si="18"/>
        <v>1.0114021057551745</v>
      </c>
      <c r="D212" s="1">
        <f t="shared" si="17"/>
        <v>1.0005556437529766</v>
      </c>
      <c r="E212" s="1">
        <f>[1]!RCHGetYahooHistory("SPY",YEAR(G212),MONTH(G212),DAY(G212),YEAR(G212),MONTH(G212),DAY(G212),"w","a",0,0,0)/1.2479</f>
        <v>100.95360205144644</v>
      </c>
      <c r="F212" s="1">
        <f t="shared" si="19"/>
        <v>110.15944611298616</v>
      </c>
      <c r="G212" s="90">
        <v>39647</v>
      </c>
      <c r="H212" s="1">
        <v>32.43</v>
      </c>
      <c r="I212" s="1">
        <v>17.54</v>
      </c>
      <c r="J212" s="1">
        <v>27.95</v>
      </c>
      <c r="K212" s="1">
        <v>8.97</v>
      </c>
      <c r="L212" s="1">
        <v>52.96</v>
      </c>
      <c r="M212" s="1">
        <v>47.32</v>
      </c>
      <c r="N212" s="1">
        <v>20.24</v>
      </c>
      <c r="O212" s="1">
        <v>40.29</v>
      </c>
      <c r="P212" s="1">
        <v>87.15</v>
      </c>
      <c r="Q212" s="1">
        <v>44.92</v>
      </c>
      <c r="R212" s="1">
        <v>130.02</v>
      </c>
      <c r="S212" s="1">
        <v>17.48</v>
      </c>
      <c r="T212" s="1">
        <v>9.81</v>
      </c>
      <c r="U212" s="1">
        <v>28.09</v>
      </c>
      <c r="V212" s="1">
        <v>14.32</v>
      </c>
      <c r="W212" s="1">
        <v>39.55</v>
      </c>
      <c r="X212" s="1">
        <v>52.41</v>
      </c>
      <c r="Y212" s="1">
        <v>149.72</v>
      </c>
      <c r="Z212" s="1">
        <f>[1]!RCHGetYahooHistory(Z$204,YEAR($G212),MONTH($G212),DAY($G212),YEAR($G212),MONTH($G212),DAY($G212),"w","a",0,0,0)</f>
        <v>27.49</v>
      </c>
    </row>
    <row r="213" spans="1:26" ht="15">
      <c r="A213" s="1">
        <f>SUMPRODUCT(H89:Y89,H213:Y213)</f>
        <v>52624</v>
      </c>
      <c r="B213" s="1">
        <f>SUMPRODUCT(H89:Y89,H214:Y214)</f>
        <v>54406.1</v>
      </c>
      <c r="C213" s="1">
        <f t="shared" si="18"/>
        <v>1.03386477652782</v>
      </c>
      <c r="D213" s="1">
        <f t="shared" si="17"/>
        <v>1.0113447044823483</v>
      </c>
      <c r="E213" s="1">
        <f>[1]!RCHGetYahooHistory("SPY",YEAR(G213),MONTH(G213),DAY(G213),YEAR(G213),MONTH(G213),DAY(G213),"w","a",0,0,0)/1.2479</f>
        <v>101.00969628976681</v>
      </c>
      <c r="F213" s="1">
        <f t="shared" si="19"/>
        <v>111.41549576749787</v>
      </c>
      <c r="G213" s="90">
        <v>39650</v>
      </c>
      <c r="H213" s="1">
        <v>34.42</v>
      </c>
      <c r="I213" s="1">
        <v>16.65</v>
      </c>
      <c r="J213" s="1">
        <v>28.85</v>
      </c>
      <c r="K213" s="1">
        <v>9.07</v>
      </c>
      <c r="L213" s="1">
        <v>53.4</v>
      </c>
      <c r="M213" s="1">
        <v>48.45</v>
      </c>
      <c r="N213" s="1">
        <v>20.73</v>
      </c>
      <c r="O213" s="1">
        <v>40.87</v>
      </c>
      <c r="P213" s="1">
        <v>85.5</v>
      </c>
      <c r="Q213" s="1">
        <v>45.19</v>
      </c>
      <c r="R213" s="1">
        <v>130.99</v>
      </c>
      <c r="S213" s="1">
        <v>16.78</v>
      </c>
      <c r="T213" s="1">
        <v>9.85</v>
      </c>
      <c r="U213" s="1">
        <v>28</v>
      </c>
      <c r="V213" s="1">
        <v>13.62</v>
      </c>
      <c r="W213" s="1">
        <v>39</v>
      </c>
      <c r="X213" s="1">
        <v>53.66</v>
      </c>
      <c r="Y213" s="1">
        <v>156.73</v>
      </c>
      <c r="Z213" s="1">
        <f>[1]!RCHGetYahooHistory(Z$204,YEAR($G213),MONTH($G213),DAY($G213),YEAR($G213),MONTH($G213),DAY($G213),"w","a",0,0,0)</f>
        <v>26.14</v>
      </c>
    </row>
    <row r="214" spans="1:26" ht="15">
      <c r="A214" s="1">
        <f>SUMPRODUCT(H90:Y90,H214:Y214)</f>
        <v>54406.1</v>
      </c>
      <c r="B214" s="1">
        <f>SUMPRODUCT(H90:Y90,H215:Y215)</f>
        <v>55248.89000000001</v>
      </c>
      <c r="C214" s="1">
        <f t="shared" si="18"/>
        <v>1.015490726223714</v>
      </c>
      <c r="D214" s="1">
        <f t="shared" si="17"/>
        <v>1.0054126137433321</v>
      </c>
      <c r="E214" s="1">
        <f>[1]!RCHGetYahooHistory("SPY",YEAR(G214),MONTH(G214),DAY(G214),YEAR(G214),MONTH(G214),DAY(G214),"w","a",0,0,0)/1.2479</f>
        <v>102.15562144402597</v>
      </c>
      <c r="F214" s="1">
        <f t="shared" si="19"/>
        <v>115.18855663340045</v>
      </c>
      <c r="G214" s="90">
        <v>39651</v>
      </c>
      <c r="H214" s="1">
        <v>36.68</v>
      </c>
      <c r="I214" s="1">
        <v>17.15</v>
      </c>
      <c r="J214" s="1">
        <v>29.14</v>
      </c>
      <c r="K214" s="1">
        <v>9.32</v>
      </c>
      <c r="L214" s="1">
        <v>58.18</v>
      </c>
      <c r="M214" s="1">
        <v>49.46</v>
      </c>
      <c r="N214" s="1">
        <v>19.71</v>
      </c>
      <c r="O214" s="1">
        <v>40.86</v>
      </c>
      <c r="P214" s="1">
        <v>88.47</v>
      </c>
      <c r="Q214" s="1">
        <v>47.56</v>
      </c>
      <c r="R214" s="1">
        <v>138</v>
      </c>
      <c r="S214" s="1">
        <v>17.35</v>
      </c>
      <c r="T214" s="1">
        <v>9.65</v>
      </c>
      <c r="U214" s="1">
        <v>27.79</v>
      </c>
      <c r="V214" s="1">
        <v>15.03</v>
      </c>
      <c r="W214" s="1">
        <v>40.04</v>
      </c>
      <c r="X214" s="1">
        <v>54.28</v>
      </c>
      <c r="Y214" s="1">
        <v>156.07</v>
      </c>
      <c r="Z214" s="1">
        <f>[1]!RCHGetYahooHistory(Z$204,YEAR($G214),MONTH($G214),DAY($G214),YEAR($G214),MONTH($G214),DAY($G214),"w","a",0,0,0)</f>
        <v>29.25</v>
      </c>
    </row>
    <row r="215" spans="1:26" ht="15">
      <c r="A215" s="1">
        <f>SUMPRODUCT(H91:Y91,H215:Y215)</f>
        <v>55248.89000000001</v>
      </c>
      <c r="B215" s="1">
        <f>SUMPRODUCT(H91:Y91,H216:Y216)</f>
        <v>54258.32000000001</v>
      </c>
      <c r="C215" s="1">
        <f t="shared" si="18"/>
        <v>0.9820707710145851</v>
      </c>
      <c r="D215" s="1">
        <f t="shared" si="17"/>
        <v>0.9792463134898964</v>
      </c>
      <c r="E215" s="1">
        <f>[1]!RCHGetYahooHistory("SPY",YEAR(G215),MONTH(G215),DAY(G215),YEAR(G215),MONTH(G215),DAY(G215),"w","a",0,0,0)/1.2479</f>
        <v>102.70855036461253</v>
      </c>
      <c r="F215" s="1">
        <f t="shared" si="19"/>
        <v>116.97291102831323</v>
      </c>
      <c r="G215" s="90">
        <v>39652</v>
      </c>
      <c r="H215" s="1">
        <v>37.25</v>
      </c>
      <c r="I215" s="1">
        <v>17.2</v>
      </c>
      <c r="J215" s="1">
        <v>30.77</v>
      </c>
      <c r="K215" s="1">
        <v>9.33</v>
      </c>
      <c r="L215" s="1">
        <v>56.66</v>
      </c>
      <c r="M215" s="1">
        <v>50.12</v>
      </c>
      <c r="N215" s="1">
        <v>19.76</v>
      </c>
      <c r="O215" s="1">
        <v>40.88</v>
      </c>
      <c r="P215" s="1">
        <v>90.95</v>
      </c>
      <c r="Q215" s="1">
        <v>49.99</v>
      </c>
      <c r="R215" s="1">
        <v>138.53</v>
      </c>
      <c r="S215" s="1">
        <v>18.79</v>
      </c>
      <c r="T215" s="1">
        <v>9.78</v>
      </c>
      <c r="U215" s="1">
        <v>28.58</v>
      </c>
      <c r="V215" s="1">
        <v>15.22</v>
      </c>
      <c r="W215" s="1">
        <v>41.81</v>
      </c>
      <c r="X215" s="1">
        <v>54</v>
      </c>
      <c r="Y215" s="1">
        <v>139.58</v>
      </c>
      <c r="Z215" s="1">
        <f>[1]!RCHGetYahooHistory(Z$204,YEAR($G215),MONTH($G215),DAY($G215),YEAR($G215),MONTH($G215),DAY($G215),"w","a",0,0,0)</f>
        <v>30.4</v>
      </c>
    </row>
    <row r="216" spans="1:26" ht="15">
      <c r="A216" s="1">
        <f>SUMPRODUCT(H92:Y92,H216:Y216)</f>
        <v>54258.32000000001</v>
      </c>
      <c r="B216" s="1">
        <f>SUMPRODUCT(H92:Y92,H217:Y217)</f>
        <v>55481.68</v>
      </c>
      <c r="C216" s="1">
        <f t="shared" si="18"/>
        <v>1.022546956853806</v>
      </c>
      <c r="D216" s="1">
        <f t="shared" si="17"/>
        <v>0.9997609752210979</v>
      </c>
      <c r="E216" s="1">
        <f>[1]!RCHGetYahooHistory("SPY",YEAR(G216),MONTH(G216),DAY(G216),YEAR(G216),MONTH(G216),DAY(G216),"w","a",0,0,0)/1.2479</f>
        <v>100.57696930843818</v>
      </c>
      <c r="F216" s="1">
        <f t="shared" si="19"/>
        <v>114.87567692139604</v>
      </c>
      <c r="G216" s="90">
        <v>39653</v>
      </c>
      <c r="H216" s="1">
        <v>38.2</v>
      </c>
      <c r="I216" s="1">
        <v>17.65</v>
      </c>
      <c r="J216" s="1">
        <v>28.63</v>
      </c>
      <c r="K216" s="1">
        <v>9.19</v>
      </c>
      <c r="L216" s="1">
        <v>54.42</v>
      </c>
      <c r="M216" s="1">
        <v>46.72</v>
      </c>
      <c r="N216" s="1">
        <v>19.26</v>
      </c>
      <c r="O216" s="1">
        <v>40.75</v>
      </c>
      <c r="P216" s="1">
        <v>89.78</v>
      </c>
      <c r="Q216" s="1">
        <v>47.88</v>
      </c>
      <c r="R216" s="1">
        <v>137</v>
      </c>
      <c r="S216" s="1">
        <v>17.22</v>
      </c>
      <c r="T216" s="1">
        <v>9.66</v>
      </c>
      <c r="U216" s="1">
        <v>26.6</v>
      </c>
      <c r="V216" s="1">
        <v>14.2</v>
      </c>
      <c r="W216" s="1">
        <v>38.04</v>
      </c>
      <c r="X216" s="1">
        <v>54.01</v>
      </c>
      <c r="Y216" s="1">
        <v>139.49</v>
      </c>
      <c r="Z216" s="1">
        <f>[1]!RCHGetYahooHistory(Z$204,YEAR($G216),MONTH($G216),DAY($G216),YEAR($G216),MONTH($G216),DAY($G216),"w","a",0,0,0)</f>
        <v>27.77</v>
      </c>
    </row>
    <row r="217" spans="1:26" ht="15.75" thickBot="1">
      <c r="A217" s="1">
        <f>SUMPRODUCT(H93:Y93,H217:Y217)</f>
        <v>55521.36</v>
      </c>
      <c r="B217" s="1">
        <f>SUMPRODUCT(H93:Y93,H218:Y218)</f>
        <v>54555.979999999996</v>
      </c>
      <c r="C217" s="1">
        <f t="shared" si="18"/>
        <v>0.9826124576199141</v>
      </c>
      <c r="D217" s="1">
        <f t="shared" si="17"/>
        <v>0.9853363085750718</v>
      </c>
      <c r="E217" s="1">
        <f>[1]!RCHGetYahooHistory("SPY",YEAR(G217),MONTH(G217),DAY(G217),YEAR(G217),MONTH(G217),DAY(G217),"w","a",0,0,0)/1.2479</f>
        <v>100.55292892058658</v>
      </c>
      <c r="F217" s="1">
        <f t="shared" si="19"/>
        <v>117.46577385249451</v>
      </c>
      <c r="G217" s="90">
        <v>39654</v>
      </c>
      <c r="H217" s="1">
        <v>40.02</v>
      </c>
      <c r="I217" s="1">
        <v>17.48</v>
      </c>
      <c r="J217" s="1">
        <v>29.75</v>
      </c>
      <c r="K217" s="1">
        <v>9.37</v>
      </c>
      <c r="L217" s="1">
        <v>56.17</v>
      </c>
      <c r="M217" s="1">
        <v>49.17</v>
      </c>
      <c r="N217" s="1">
        <v>20.08</v>
      </c>
      <c r="O217" s="1">
        <v>40.93</v>
      </c>
      <c r="P217" s="1">
        <v>91.85</v>
      </c>
      <c r="Q217" s="1">
        <v>48.55</v>
      </c>
      <c r="R217" s="1">
        <v>137.91</v>
      </c>
      <c r="S217" s="1">
        <v>17.84</v>
      </c>
      <c r="T217" s="1">
        <v>9.63</v>
      </c>
      <c r="U217" s="1">
        <v>27.07</v>
      </c>
      <c r="V217" s="1">
        <v>13.85</v>
      </c>
      <c r="W217" s="1">
        <v>36.34</v>
      </c>
      <c r="X217" s="1">
        <v>54.37</v>
      </c>
      <c r="Y217" s="1">
        <v>143.72</v>
      </c>
      <c r="Z217" s="1">
        <f>[1]!RCHGetYahooHistory(Z$204,YEAR($G217),MONTH($G217),DAY($G217),YEAR($G217),MONTH($G217),DAY($G217),"w","a",0,0,0)</f>
        <v>28.84</v>
      </c>
    </row>
    <row r="218" spans="1:26" ht="15">
      <c r="A218" s="94">
        <f>SUMPRODUCT(H96:Y96,H218:Y218)</f>
        <v>54555.979999999996</v>
      </c>
      <c r="B218" s="95">
        <f>SUMPRODUCT(H96:Y96,H219:Y219)</f>
        <v>56068.99</v>
      </c>
      <c r="C218" s="95">
        <f t="shared" si="18"/>
        <v>1.027733165090243</v>
      </c>
      <c r="D218" s="95">
        <f t="shared" si="17"/>
        <v>1.0213523131672597</v>
      </c>
      <c r="E218" s="95">
        <f>[1]!RCHGetYahooHistory("SPY",YEAR(G218),MONTH(G218),DAY(G218),YEAR(G218),MONTH(G218),DAY(G218),"w","a",0,0,0)/1.2479</f>
        <v>99.07845179902236</v>
      </c>
      <c r="F218" s="96">
        <f t="shared" si="19"/>
        <v>115.42333273142468</v>
      </c>
      <c r="G218" s="90">
        <v>39657</v>
      </c>
      <c r="H218" s="1">
        <v>39.4</v>
      </c>
      <c r="I218" s="1">
        <v>17.1</v>
      </c>
      <c r="J218" s="1">
        <v>27.81</v>
      </c>
      <c r="K218" s="1">
        <v>9.44</v>
      </c>
      <c r="L218" s="1">
        <v>55.56</v>
      </c>
      <c r="M218" s="1">
        <v>47.62</v>
      </c>
      <c r="N218" s="1">
        <v>20.24</v>
      </c>
      <c r="O218" s="1">
        <v>40.94</v>
      </c>
      <c r="P218" s="1">
        <v>92.03</v>
      </c>
      <c r="Q218" s="1">
        <v>47.84</v>
      </c>
      <c r="R218" s="1">
        <v>137.13</v>
      </c>
      <c r="S218" s="1">
        <v>17.92</v>
      </c>
      <c r="T218" s="1">
        <v>9.38</v>
      </c>
      <c r="U218" s="1">
        <v>26.76</v>
      </c>
      <c r="V218" s="1">
        <v>13.57</v>
      </c>
      <c r="W218" s="1">
        <v>37.56</v>
      </c>
      <c r="X218" s="1">
        <v>53.58</v>
      </c>
      <c r="Y218" s="1">
        <v>145.68</v>
      </c>
      <c r="Z218" s="1">
        <f>[1]!RCHGetYahooHistory(Z$204,YEAR($G218),MONTH($G218),DAY($G218),YEAR($G218),MONTH($G218),DAY($G218),"w","a",0,0,0)</f>
        <v>26.78</v>
      </c>
    </row>
    <row r="219" spans="1:26" ht="15">
      <c r="A219" s="97">
        <f>SUMPRODUCT(H97:Y97,H219:Y219)</f>
        <v>57956.85</v>
      </c>
      <c r="B219" s="98">
        <f>SUMPRODUCT(H97:Y97,H220:Y220)</f>
        <v>59228.97</v>
      </c>
      <c r="C219" s="98">
        <f aca="true" t="shared" si="20" ref="C219:C224">B219/A219</f>
        <v>1.0219494330696026</v>
      </c>
      <c r="D219" s="98">
        <f t="shared" si="17"/>
        <v>1.0178175483053533</v>
      </c>
      <c r="E219" s="98">
        <f>[1]!RCHGetYahooHistory("SPY",YEAR(G219),MONTH(G219),DAY(G219),YEAR(G219),MONTH(G219),DAY(G219),"w","a",0,0,0)/1.2479</f>
        <v>101.19400592996233</v>
      </c>
      <c r="F219" s="99">
        <f aca="true" t="shared" si="21" ref="F219:F224">F218*C218</f>
        <v>118.62438707333133</v>
      </c>
      <c r="G219" s="90">
        <v>39658</v>
      </c>
      <c r="H219" s="1">
        <v>40.3</v>
      </c>
      <c r="I219" s="1">
        <v>18.05</v>
      </c>
      <c r="J219" s="1">
        <v>28.88</v>
      </c>
      <c r="K219" s="1">
        <v>9.52</v>
      </c>
      <c r="L219" s="1">
        <v>56.36</v>
      </c>
      <c r="M219" s="1">
        <v>49</v>
      </c>
      <c r="N219" s="1">
        <v>20.2</v>
      </c>
      <c r="O219" s="1">
        <v>41.65</v>
      </c>
      <c r="P219" s="1">
        <v>98.31</v>
      </c>
      <c r="Q219" s="1">
        <v>48.44</v>
      </c>
      <c r="R219" s="1">
        <v>138</v>
      </c>
      <c r="S219" s="1">
        <v>18.16</v>
      </c>
      <c r="T219" s="1">
        <v>9.55</v>
      </c>
      <c r="U219" s="1">
        <v>27.82</v>
      </c>
      <c r="V219" s="1">
        <v>14.3</v>
      </c>
      <c r="W219" s="1">
        <v>35.62</v>
      </c>
      <c r="X219" s="1">
        <v>51.95</v>
      </c>
      <c r="Y219" s="1">
        <v>152.68</v>
      </c>
      <c r="Z219" s="1">
        <f>[1]!RCHGetYahooHistory(Z$204,YEAR($G219),MONTH($G219),DAY($G219),YEAR($G219),MONTH($G219),DAY($G219),"w","a",0,0,0)</f>
        <v>28.33</v>
      </c>
    </row>
    <row r="220" spans="1:26" ht="15">
      <c r="A220" s="97">
        <f>SUMPRODUCT(H98:Y98,H220:Y220)</f>
        <v>59228.97</v>
      </c>
      <c r="B220" s="98">
        <f>SUMPRODUCT(H98:Y98,H221:Y221)</f>
        <v>57819.29</v>
      </c>
      <c r="C220" s="98">
        <f t="shared" si="20"/>
        <v>0.9761994848129217</v>
      </c>
      <c r="D220" s="98">
        <f t="shared" si="17"/>
        <v>0.9867735159106822</v>
      </c>
      <c r="E220" s="98">
        <f>[1]!RCHGetYahooHistory("SPY",YEAR(G220),MONTH(G220),DAY(G220),YEAR(G220),MONTH(G220),DAY(G220),"w","a",0,0,0)/1.2479</f>
        <v>102.99703501883164</v>
      </c>
      <c r="F220" s="99">
        <f t="shared" si="21"/>
        <v>121.22812511782006</v>
      </c>
      <c r="G220" s="90">
        <v>39659</v>
      </c>
      <c r="H220" s="1">
        <v>42.74</v>
      </c>
      <c r="I220" s="1">
        <v>18.1</v>
      </c>
      <c r="J220" s="1">
        <v>28.92</v>
      </c>
      <c r="K220" s="1">
        <v>9.53</v>
      </c>
      <c r="L220" s="1">
        <v>56.73</v>
      </c>
      <c r="M220" s="1">
        <v>49.37</v>
      </c>
      <c r="N220" s="1">
        <v>21.68</v>
      </c>
      <c r="O220" s="1">
        <v>42.16</v>
      </c>
      <c r="P220" s="1">
        <v>99.55</v>
      </c>
      <c r="Q220" s="1">
        <v>48.24</v>
      </c>
      <c r="R220" s="1">
        <v>139</v>
      </c>
      <c r="S220" s="1">
        <v>17.96</v>
      </c>
      <c r="T220" s="1">
        <v>9.8</v>
      </c>
      <c r="U220" s="1">
        <v>28.2</v>
      </c>
      <c r="V220" s="1">
        <v>14.35</v>
      </c>
      <c r="W220" s="1">
        <v>36.72</v>
      </c>
      <c r="X220" s="1">
        <v>54.3</v>
      </c>
      <c r="Y220" s="1">
        <v>166.61</v>
      </c>
      <c r="Z220" s="1">
        <f>[1]!RCHGetYahooHistory(Z$204,YEAR($G220),MONTH($G220),DAY($G220),YEAR($G220),MONTH($G220),DAY($G220),"w","a",0,0,0)</f>
        <v>28.12</v>
      </c>
    </row>
    <row r="221" spans="1:26" ht="15">
      <c r="A221" s="97">
        <f>SUMPRODUCT(H99:Y99,H221:Y221)</f>
        <v>57819.29</v>
      </c>
      <c r="B221" s="98">
        <f>SUMPRODUCT(H99:Y99,H222:Y222)</f>
        <v>58415.35999999999</v>
      </c>
      <c r="C221" s="98">
        <f t="shared" si="20"/>
        <v>1.0103091891996596</v>
      </c>
      <c r="D221" s="98">
        <f t="shared" si="17"/>
        <v>0.9947173381692029</v>
      </c>
      <c r="E221" s="98">
        <f>[1]!RCHGetYahooHistory("SPY",YEAR(G221),MONTH(G221),DAY(G221),YEAR(G221),MONTH(G221),DAY(G221),"w","a",0,0,0)/1.2479</f>
        <v>101.63474637390816</v>
      </c>
      <c r="F221" s="99">
        <f t="shared" si="21"/>
        <v>118.34283328485236</v>
      </c>
      <c r="G221" s="90">
        <v>39660</v>
      </c>
      <c r="H221" s="1">
        <v>39.22</v>
      </c>
      <c r="I221" s="1">
        <v>17.54</v>
      </c>
      <c r="J221" s="1">
        <v>29.18</v>
      </c>
      <c r="K221" s="1">
        <v>9.45</v>
      </c>
      <c r="L221" s="1">
        <v>55.5</v>
      </c>
      <c r="M221" s="1">
        <v>47.33</v>
      </c>
      <c r="N221" s="1">
        <v>22.07</v>
      </c>
      <c r="O221" s="1">
        <v>45.39</v>
      </c>
      <c r="P221" s="1">
        <v>100.52</v>
      </c>
      <c r="Q221" s="1">
        <v>46.8</v>
      </c>
      <c r="R221" s="1">
        <v>138.79</v>
      </c>
      <c r="S221" s="1">
        <v>17.98</v>
      </c>
      <c r="T221" s="1">
        <v>10</v>
      </c>
      <c r="U221" s="1">
        <v>28.07</v>
      </c>
      <c r="V221" s="1">
        <v>14.76</v>
      </c>
      <c r="W221" s="1">
        <v>34.95</v>
      </c>
      <c r="X221" s="1">
        <v>65.63</v>
      </c>
      <c r="Y221" s="1">
        <v>163.46</v>
      </c>
      <c r="Z221" s="1">
        <f>[1]!RCHGetYahooHistory(Z$204,YEAR($G221),MONTH($G221),DAY($G221),YEAR($G221),MONTH($G221),DAY($G221),"w","a",0,0,0)</f>
        <v>27.77</v>
      </c>
    </row>
    <row r="222" spans="1:26" ht="15">
      <c r="A222" s="97">
        <f>SUMPRODUCT(H100:Y100,H222:Y222)</f>
        <v>58415.35999999999</v>
      </c>
      <c r="B222" s="98">
        <f>SUMPRODUCT(H98:Y98,H223:Y223)</f>
        <v>56635.49</v>
      </c>
      <c r="C222" s="98">
        <f t="shared" si="20"/>
        <v>0.9695307877927998</v>
      </c>
      <c r="D222" s="98">
        <f>E223/E222</f>
        <v>0.99072606214331</v>
      </c>
      <c r="E222" s="98">
        <f>[1]!RCHGetYahooHistory("SPY",YEAR(G222),MONTH(G222),DAY(G222),YEAR(G222),MONTH(G222),DAY(G222),"w","a",0,0,0)/1.2479</f>
        <v>101.09784437855598</v>
      </c>
      <c r="F222" s="99">
        <f t="shared" si="21"/>
        <v>119.56285194360969</v>
      </c>
      <c r="G222" s="90">
        <v>39661</v>
      </c>
      <c r="H222" s="1">
        <v>41.51</v>
      </c>
      <c r="I222" s="1">
        <v>17.21</v>
      </c>
      <c r="J222" s="1">
        <v>29.93</v>
      </c>
      <c r="K222" s="1">
        <v>9.44</v>
      </c>
      <c r="L222" s="1">
        <v>54.46</v>
      </c>
      <c r="M222" s="1">
        <v>45.22</v>
      </c>
      <c r="N222" s="1">
        <v>21.66</v>
      </c>
      <c r="O222" s="1">
        <v>46.11</v>
      </c>
      <c r="P222" s="1">
        <v>100</v>
      </c>
      <c r="Q222" s="1">
        <v>46.21</v>
      </c>
      <c r="R222" s="1">
        <v>139.57</v>
      </c>
      <c r="S222" s="1">
        <v>18.02</v>
      </c>
      <c r="T222" s="1">
        <v>9.84</v>
      </c>
      <c r="U222" s="1">
        <v>29.36</v>
      </c>
      <c r="V222" s="1">
        <v>14.9</v>
      </c>
      <c r="W222" s="1">
        <v>35.24</v>
      </c>
      <c r="X222" s="1">
        <v>63.42</v>
      </c>
      <c r="Y222" s="1">
        <v>162.54</v>
      </c>
      <c r="Z222" s="1">
        <f>[1]!RCHGetYahooHistory(Z$204,YEAR($G222),MONTH($G222),DAY($G222),YEAR($G222),MONTH($G222),DAY($G222),"w","a",0,0,0)</f>
        <v>27.2</v>
      </c>
    </row>
    <row r="223" spans="1:26" ht="15">
      <c r="A223" s="97">
        <f>SUMPRODUCT(H103:Y103,H223:Y223)</f>
        <v>58633.49</v>
      </c>
      <c r="B223" s="98">
        <f>SUMPRODUCT(H103:Y103,H224:Y224)</f>
        <v>59937.12</v>
      </c>
      <c r="C223" s="98">
        <f t="shared" si="20"/>
        <v>1.0222335392281783</v>
      </c>
      <c r="D223" s="98">
        <f t="shared" si="17"/>
        <v>1.026962156972558</v>
      </c>
      <c r="E223" s="98">
        <f>[1]!RCHGetYahooHistory("SPY",YEAR(G223),MONTH(G223),DAY(G223),YEAR(G223),MONTH(G223),DAY(G223),"w","a",0,0,0)/1.2479</f>
        <v>100.16026925234394</v>
      </c>
      <c r="F223" s="99">
        <f t="shared" si="21"/>
        <v>115.91986603564177</v>
      </c>
      <c r="G223" s="90">
        <v>39664</v>
      </c>
      <c r="H223" s="1">
        <v>39.68</v>
      </c>
      <c r="I223" s="1">
        <v>16.71</v>
      </c>
      <c r="J223" s="1">
        <v>28.6</v>
      </c>
      <c r="K223" s="1">
        <v>9.19</v>
      </c>
      <c r="L223" s="1">
        <v>53.71</v>
      </c>
      <c r="M223" s="1">
        <v>43.52</v>
      </c>
      <c r="N223" s="1">
        <v>20.48</v>
      </c>
      <c r="O223" s="1">
        <v>46.1</v>
      </c>
      <c r="P223" s="1">
        <v>99.9</v>
      </c>
      <c r="Q223" s="1">
        <v>45.85</v>
      </c>
      <c r="R223" s="1">
        <v>138.94</v>
      </c>
      <c r="S223" s="1">
        <v>17.26</v>
      </c>
      <c r="T223" s="1">
        <v>9.61</v>
      </c>
      <c r="U223" s="1">
        <v>28.86</v>
      </c>
      <c r="V223" s="1">
        <v>13.89</v>
      </c>
      <c r="W223" s="1">
        <v>35.3</v>
      </c>
      <c r="X223" s="1">
        <v>60.87</v>
      </c>
      <c r="Y223" s="1">
        <v>148.96</v>
      </c>
      <c r="Z223" s="1">
        <f>[1]!RCHGetYahooHistory(Z$204,YEAR($G223),MONTH($G223),DAY($G223),YEAR($G223),MONTH($G223),DAY($G223),"w","a",0,0,0)</f>
        <v>25.75</v>
      </c>
    </row>
    <row r="224" spans="1:26" ht="15">
      <c r="A224" s="97">
        <f>SUMPRODUCT(H104:Y104,H224:Y224)</f>
        <v>59937.12</v>
      </c>
      <c r="B224" s="98">
        <f>SUMPRODUCT(H104:Y104,H225:Y225)</f>
        <v>61099.299999999996</v>
      </c>
      <c r="C224" s="98">
        <f t="shared" si="20"/>
        <v>1.019389987373434</v>
      </c>
      <c r="D224" s="98">
        <f t="shared" si="17"/>
        <v>1.0044406357120597</v>
      </c>
      <c r="E224" s="98">
        <f>[1]!RCHGetYahooHistory("SPY",YEAR(G224),MONTH(G224),DAY(G224),YEAR(G224),MONTH(G224),DAY(G224),"w","a",0,0,0)/1.2479</f>
        <v>102.8608061543393</v>
      </c>
      <c r="F224" s="99">
        <f t="shared" si="21"/>
        <v>118.49717492447039</v>
      </c>
      <c r="G224" s="90">
        <v>39665</v>
      </c>
      <c r="H224" s="1">
        <v>41.85</v>
      </c>
      <c r="I224" s="1">
        <v>16.3</v>
      </c>
      <c r="J224" s="1">
        <v>30.14</v>
      </c>
      <c r="K224" s="1">
        <v>9.3</v>
      </c>
      <c r="L224" s="1">
        <v>54.24</v>
      </c>
      <c r="M224" s="1">
        <v>44.84</v>
      </c>
      <c r="N224" s="1">
        <v>21.25</v>
      </c>
      <c r="O224" s="1">
        <v>45.97</v>
      </c>
      <c r="P224" s="1">
        <v>100.17</v>
      </c>
      <c r="Q224" s="1">
        <v>48.19</v>
      </c>
      <c r="R224" s="1">
        <v>139.5</v>
      </c>
      <c r="S224" s="1">
        <v>17.75</v>
      </c>
      <c r="T224" s="1">
        <v>9.53</v>
      </c>
      <c r="U224" s="1">
        <v>29.65</v>
      </c>
      <c r="V224" s="1">
        <v>13.52</v>
      </c>
      <c r="W224" s="1">
        <v>35.69</v>
      </c>
      <c r="X224" s="1">
        <v>59.52</v>
      </c>
      <c r="Y224" s="1">
        <v>139.5</v>
      </c>
      <c r="Z224" s="1">
        <v>26.42</v>
      </c>
    </row>
    <row r="225" spans="1:26" ht="15">
      <c r="A225" s="97">
        <f>SUMPRODUCT(H105:Y105,H225:Y225)</f>
        <v>61030.15</v>
      </c>
      <c r="B225" s="98">
        <f>SUMPRODUCT(H105:Y105,H226:Y226)</f>
        <v>59747.130000000005</v>
      </c>
      <c r="C225" s="98">
        <f>B225/A225</f>
        <v>0.9789772759857218</v>
      </c>
      <c r="D225" s="98">
        <f>E226/E225</f>
        <v>0.9851081982471108</v>
      </c>
      <c r="E225" s="98">
        <f>[1]!RCHGetYahooHistory("SPY",YEAR(G225),MONTH(G225),DAY(G225),YEAR(G225),MONTH(G225),DAY(G225),"w","a",0,0,0)/1.2479</f>
        <v>103.31757352351951</v>
      </c>
      <c r="F225" s="99">
        <f>F224*C224</f>
        <v>120.79483365004347</v>
      </c>
      <c r="G225" s="90">
        <v>39666</v>
      </c>
      <c r="H225" s="1">
        <v>41.05</v>
      </c>
      <c r="I225" s="1">
        <v>16.39</v>
      </c>
      <c r="J225" s="1">
        <v>30.91</v>
      </c>
      <c r="K225" s="1">
        <v>9.39</v>
      </c>
      <c r="L225" s="1">
        <v>55.18</v>
      </c>
      <c r="M225" s="1">
        <v>46.61</v>
      </c>
      <c r="N225" s="1">
        <v>22.35</v>
      </c>
      <c r="O225" s="1">
        <v>46.89</v>
      </c>
      <c r="P225" s="1">
        <v>113.23</v>
      </c>
      <c r="Q225" s="1">
        <v>50.1</v>
      </c>
      <c r="R225" s="1">
        <v>144.5</v>
      </c>
      <c r="S225" s="1">
        <v>17.89</v>
      </c>
      <c r="T225" s="1">
        <v>8.84</v>
      </c>
      <c r="U225" s="1">
        <v>30.29</v>
      </c>
      <c r="V225" s="1">
        <v>14.43</v>
      </c>
      <c r="W225" s="1">
        <v>36.56</v>
      </c>
      <c r="X225" s="1">
        <v>62.22</v>
      </c>
      <c r="Y225" s="1">
        <v>140.68</v>
      </c>
      <c r="Z225" s="1">
        <v>30.89</v>
      </c>
    </row>
    <row r="226" spans="1:26" ht="15">
      <c r="A226" s="97">
        <f>SUMPRODUCT(H106:Y106,H226:Y226)</f>
        <v>59747.130000000005</v>
      </c>
      <c r="B226" s="98">
        <f>SUMPRODUCT(H106:Y106,H227:Y227)</f>
        <v>61700.509999999995</v>
      </c>
      <c r="C226" s="98">
        <f aca="true" t="shared" si="22" ref="C226:C232">B226/A226</f>
        <v>1.0326941227135094</v>
      </c>
      <c r="D226" s="98">
        <f aca="true" t="shared" si="23" ref="D226:D232">E227/E226</f>
        <v>1.0185812140776316</v>
      </c>
      <c r="E226" s="98">
        <f>[1]!RCHGetYahooHistory("SPY",YEAR(G226),MONTH(G226),DAY(G226),YEAR(G226),MONTH(G226),DAY(G226),"w","a",0,0,0)/1.2479</f>
        <v>101.77898870101771</v>
      </c>
      <c r="F226" s="99">
        <f aca="true" t="shared" si="24" ref="F226:F232">F225*C225</f>
        <v>118.25539719986797</v>
      </c>
      <c r="G226" s="90">
        <v>39667</v>
      </c>
      <c r="H226" s="1">
        <v>40.08</v>
      </c>
      <c r="I226" s="1">
        <v>15.85</v>
      </c>
      <c r="J226" s="1">
        <v>29.73</v>
      </c>
      <c r="K226" s="1">
        <v>9.08</v>
      </c>
      <c r="L226" s="1">
        <v>54.76</v>
      </c>
      <c r="M226" s="1">
        <v>44.71</v>
      </c>
      <c r="N226" s="1">
        <v>23.24</v>
      </c>
      <c r="O226" s="1">
        <v>44.66</v>
      </c>
      <c r="P226" s="1">
        <v>110.78</v>
      </c>
      <c r="Q226" s="1">
        <v>50.08</v>
      </c>
      <c r="R226" s="1">
        <v>146.63</v>
      </c>
      <c r="S226" s="1">
        <v>17.5</v>
      </c>
      <c r="T226" s="1">
        <v>8.63</v>
      </c>
      <c r="U226" s="1">
        <v>29.66</v>
      </c>
      <c r="V226" s="1">
        <v>12.77</v>
      </c>
      <c r="W226" s="1">
        <v>34.74</v>
      </c>
      <c r="X226" s="1">
        <v>61.93</v>
      </c>
      <c r="Y226" s="1">
        <v>140.25</v>
      </c>
      <c r="Z226" s="1">
        <v>31.4</v>
      </c>
    </row>
    <row r="227" spans="1:26" ht="15">
      <c r="A227" s="97">
        <f>SUMPRODUCT(H107:Y107,H227:Y227)</f>
        <v>59291.509999999995</v>
      </c>
      <c r="B227" s="98">
        <f>SUMPRODUCT(H107:Y107,H228:Y228)</f>
        <v>60864.39000000001</v>
      </c>
      <c r="C227" s="98">
        <f t="shared" si="22"/>
        <v>1.026527912680922</v>
      </c>
      <c r="D227" s="98">
        <f>E228/E227</f>
        <v>1.0103578882275643</v>
      </c>
      <c r="E227" s="98">
        <f>[1]!RCHGetYahooHistory("SPY",YEAR(G227),MONTH(G227),DAY(G227),YEAR(G227),MONTH(G227),DAY(G227),"w","a",0,0,0)/1.2479</f>
        <v>103.67016587867617</v>
      </c>
      <c r="F227" s="99">
        <f t="shared" si="24"/>
        <v>122.12165366745525</v>
      </c>
      <c r="G227" s="102">
        <v>39668</v>
      </c>
      <c r="H227" s="1">
        <v>40.15</v>
      </c>
      <c r="I227" s="1">
        <v>16.93</v>
      </c>
      <c r="J227" s="1">
        <v>32.41</v>
      </c>
      <c r="K227" s="1">
        <v>9.35</v>
      </c>
      <c r="L227" s="1">
        <v>55.86</v>
      </c>
      <c r="M227" s="1">
        <v>47.22</v>
      </c>
      <c r="N227" s="1">
        <v>21.9</v>
      </c>
      <c r="O227" s="1">
        <v>46.72</v>
      </c>
      <c r="P227" s="1">
        <v>114.95</v>
      </c>
      <c r="Q227" s="1">
        <v>54.7</v>
      </c>
      <c r="R227" s="1">
        <v>153</v>
      </c>
      <c r="S227" s="1">
        <v>17.1</v>
      </c>
      <c r="T227" s="1">
        <v>8.33</v>
      </c>
      <c r="U227" s="1">
        <v>30.76</v>
      </c>
      <c r="V227" s="1">
        <v>13.18</v>
      </c>
      <c r="W227" s="1">
        <v>35</v>
      </c>
      <c r="X227" s="1">
        <v>61.42</v>
      </c>
      <c r="Y227" s="1">
        <v>134.54</v>
      </c>
      <c r="Z227" s="1">
        <v>33.73</v>
      </c>
    </row>
    <row r="228" spans="1:26" ht="15">
      <c r="A228" s="97">
        <f>SUMPRODUCT(H110:Y110,H228:Y228)</f>
        <v>59321.39000000001</v>
      </c>
      <c r="B228" s="98">
        <f>SUMPRODUCT(H110:Y110,H229:Y229)</f>
        <v>58299.439999999995</v>
      </c>
      <c r="C228" s="98">
        <f t="shared" si="22"/>
        <v>0.9827726558666273</v>
      </c>
      <c r="D228" s="98">
        <f t="shared" si="23"/>
        <v>0.9895952872771784</v>
      </c>
      <c r="E228" s="98">
        <f>[1]!RCHGetYahooHistory("SPY",YEAR(G228),MONTH(G228),DAY(G228),YEAR(G228),MONTH(G228),DAY(G228),"w","a",0,0,0)/1.2479</f>
        <v>104.74396986938056</v>
      </c>
      <c r="F228" s="99">
        <f t="shared" si="24"/>
        <v>125.36128623239529</v>
      </c>
      <c r="G228" s="90">
        <v>39671</v>
      </c>
      <c r="H228" s="1">
        <v>40.56</v>
      </c>
      <c r="I228" s="1">
        <v>18.41</v>
      </c>
      <c r="J228" s="1">
        <v>33.39</v>
      </c>
      <c r="K228" s="1">
        <v>9.33</v>
      </c>
      <c r="L228" s="1">
        <v>57.83</v>
      </c>
      <c r="M228" s="1">
        <v>48.6</v>
      </c>
      <c r="N228" s="1">
        <v>22.89</v>
      </c>
      <c r="O228" s="1">
        <v>46.22</v>
      </c>
      <c r="P228" s="1">
        <v>115.09</v>
      </c>
      <c r="Q228" s="1">
        <v>57.6</v>
      </c>
      <c r="R228" s="1">
        <v>163.51</v>
      </c>
      <c r="S228" s="1">
        <v>15.43</v>
      </c>
      <c r="T228" s="1">
        <v>8.24</v>
      </c>
      <c r="U228" s="1">
        <v>31.29</v>
      </c>
      <c r="V228" s="1">
        <v>14.39</v>
      </c>
      <c r="W228" s="1">
        <v>34.99</v>
      </c>
      <c r="X228" s="1">
        <v>61.92</v>
      </c>
      <c r="Y228" s="1">
        <v>125.23</v>
      </c>
      <c r="Z228" s="1">
        <v>33.48</v>
      </c>
    </row>
    <row r="229" spans="1:26" ht="15">
      <c r="A229" s="97">
        <f>SUMPRODUCT(H111:Y111,H229:Y229)</f>
        <v>58299.439999999995</v>
      </c>
      <c r="B229" s="98">
        <f>SUMPRODUCT(H111:Y111,H230:Y230)</f>
        <v>57784.47</v>
      </c>
      <c r="C229" s="98">
        <f t="shared" si="22"/>
        <v>0.9911668105216792</v>
      </c>
      <c r="D229" s="98">
        <f t="shared" si="23"/>
        <v>0.9939698492462312</v>
      </c>
      <c r="E229" s="98">
        <f>[1]!RCHGetYahooHistory("SPY",YEAR(G229),MONTH(G229),DAY(G229),YEAR(G229),MONTH(G229),DAY(G229),"w","a",0,0,0)/1.2479</f>
        <v>103.65413895344177</v>
      </c>
      <c r="F229" s="99">
        <f t="shared" si="24"/>
        <v>123.20164421346757</v>
      </c>
      <c r="G229" s="102">
        <v>39672</v>
      </c>
      <c r="H229" s="1">
        <v>40.39</v>
      </c>
      <c r="I229" s="1">
        <v>18.48</v>
      </c>
      <c r="J229" s="1">
        <v>34.59</v>
      </c>
      <c r="K229" s="1">
        <v>8.68</v>
      </c>
      <c r="L229" s="1">
        <v>56.82</v>
      </c>
      <c r="M229" s="1">
        <v>49.02</v>
      </c>
      <c r="N229" s="1">
        <v>22.34</v>
      </c>
      <c r="O229" s="1">
        <v>45.07</v>
      </c>
      <c r="P229" s="1">
        <v>108.92</v>
      </c>
      <c r="Q229" s="1">
        <v>53.07</v>
      </c>
      <c r="R229" s="1">
        <v>159.13</v>
      </c>
      <c r="S229" s="1">
        <v>14.66</v>
      </c>
      <c r="T229" s="1">
        <v>8.54</v>
      </c>
      <c r="U229" s="1">
        <v>30.88</v>
      </c>
      <c r="V229" s="1">
        <v>14.41</v>
      </c>
      <c r="W229" s="1">
        <v>34.54</v>
      </c>
      <c r="X229" s="1">
        <v>61.99</v>
      </c>
      <c r="Y229" s="1">
        <v>126.43</v>
      </c>
      <c r="Z229" s="1">
        <v>32.09</v>
      </c>
    </row>
    <row r="230" spans="1:26" ht="15">
      <c r="A230" s="97">
        <f>SUMPRODUCT(H112:Y112,H230:Y230)</f>
        <v>57784.47</v>
      </c>
      <c r="B230" s="98">
        <f>SUMPRODUCT(H112:Y112,H231:Y231)</f>
        <v>59021.240000000005</v>
      </c>
      <c r="C230" s="98">
        <f t="shared" si="22"/>
        <v>1.0214031555537328</v>
      </c>
      <c r="D230" s="98">
        <f t="shared" si="23"/>
        <v>1.0075445282725362</v>
      </c>
      <c r="E230" s="98">
        <f>[1]!RCHGetYahooHistory("SPY",YEAR(G230),MONTH(G230),DAY(G230),YEAR(G230),MONTH(G230),DAY(G230),"w","a",0,0,0)/1.2479</f>
        <v>103.02908886930042</v>
      </c>
      <c r="F230" s="99">
        <f t="shared" si="24"/>
        <v>122.11338074608935</v>
      </c>
      <c r="G230" s="90">
        <v>39673</v>
      </c>
      <c r="H230" s="1">
        <v>38.36</v>
      </c>
      <c r="I230" s="1">
        <v>18.31</v>
      </c>
      <c r="J230" s="1">
        <v>35.06</v>
      </c>
      <c r="K230" s="1">
        <v>9.04</v>
      </c>
      <c r="L230" s="1">
        <v>56.92</v>
      </c>
      <c r="M230" s="1">
        <v>49.64</v>
      </c>
      <c r="N230" s="1">
        <v>22.87</v>
      </c>
      <c r="O230" s="1">
        <v>45.18</v>
      </c>
      <c r="P230" s="1">
        <v>102.97</v>
      </c>
      <c r="Q230" s="1">
        <v>53.41</v>
      </c>
      <c r="R230" s="1">
        <v>159.73</v>
      </c>
      <c r="S230" s="1">
        <v>15.2</v>
      </c>
      <c r="T230" s="1">
        <v>8.79</v>
      </c>
      <c r="U230" s="1">
        <v>30.35</v>
      </c>
      <c r="V230" s="1">
        <v>13.7</v>
      </c>
      <c r="W230" s="1">
        <v>34.14</v>
      </c>
      <c r="X230" s="1">
        <v>64.57</v>
      </c>
      <c r="Y230" s="1">
        <v>138.85</v>
      </c>
      <c r="Z230" s="1">
        <v>32.12</v>
      </c>
    </row>
    <row r="231" spans="1:26" ht="15">
      <c r="A231" s="97">
        <f>SUMPRODUCT(H113:Y113,H231:Y231)</f>
        <v>59021.240000000005</v>
      </c>
      <c r="B231" s="98">
        <f>SUMPRODUCT(H113:Y113,H232:Y232)</f>
        <v>0</v>
      </c>
      <c r="C231" s="98">
        <f t="shared" si="22"/>
        <v>0</v>
      </c>
      <c r="D231" s="98" t="e">
        <f t="shared" si="23"/>
        <v>#VALUE!</v>
      </c>
      <c r="E231" s="98">
        <f>[1]!RCHGetYahooHistory("SPY",YEAR(G231),MONTH(G231),DAY(G231),YEAR(G231),MONTH(G231),DAY(G231),"w","a",0,0,0)/1.2479</f>
        <v>103.80639474316851</v>
      </c>
      <c r="F231" s="99">
        <f t="shared" si="24"/>
        <v>124.72699242939011</v>
      </c>
      <c r="G231" s="102">
        <v>39674</v>
      </c>
      <c r="H231" s="1">
        <f>[1]!RCHGetYahooHistory(H$204,YEAR($G231),MONTH($G231),DAY($G231),YEAR($G231),MONTH($G231),DAY($G231),"w","a",0,0,0)</f>
        <v>38.3</v>
      </c>
      <c r="I231" s="1">
        <f>[1]!RCHGetYahooHistory(I$204,YEAR($G231),MONTH($G231),DAY($G231),YEAR($G231),MONTH($G231),DAY($G231),"w","a",0,0,0)</f>
        <v>19.9</v>
      </c>
      <c r="J231" s="1">
        <f>[1]!RCHGetYahooHistory(J$204,YEAR($G231),MONTH($G231),DAY($G231),YEAR($G231),MONTH($G231),DAY($G231),"w","a",0,0,0)</f>
        <v>35.48</v>
      </c>
      <c r="K231" s="1">
        <f>[1]!RCHGetYahooHistory(K$204,YEAR($G231),MONTH($G231),DAY($G231),YEAR($G231),MONTH($G231),DAY($G231),"w","a",0,0,0)</f>
        <v>8.8</v>
      </c>
      <c r="L231" s="1">
        <f>[1]!RCHGetYahooHistory(L$204,YEAR($G231),MONTH($G231),DAY($G231),YEAR($G231),MONTH($G231),DAY($G231),"w","a",0,0,0)</f>
        <v>57.14</v>
      </c>
      <c r="M231" s="1">
        <f>[1]!RCHGetYahooHistory(M$204,YEAR($G231),MONTH($G231),DAY($G231),YEAR($G231),MONTH($G231),DAY($G231),"w","a",0,0,0)</f>
        <v>50.47</v>
      </c>
      <c r="N231" s="1">
        <f>[1]!RCHGetYahooHistory(N$204,YEAR($G231),MONTH($G231),DAY($G231),YEAR($G231),MONTH($G231),DAY($G231),"w","a",0,0,0)</f>
        <v>23.18</v>
      </c>
      <c r="O231" s="1">
        <f>[1]!RCHGetYahooHistory(O$204,YEAR($G231),MONTH($G231),DAY($G231),YEAR($G231),MONTH($G231),DAY($G231),"w","a",0,0,0)</f>
        <v>45.78</v>
      </c>
      <c r="P231" s="1">
        <f>[1]!RCHGetYahooHistory(P$204,YEAR($G231),MONTH($G231),DAY($G231),YEAR($G231),MONTH($G231),DAY($G231),"w","a",0,0,0)</f>
        <v>105</v>
      </c>
      <c r="Q231" s="1">
        <f>[1]!RCHGetYahooHistory(Q$204,YEAR($G231),MONTH($G231),DAY($G231),YEAR($G231),MONTH($G231),DAY($G231),"w","a",0,0,0)</f>
        <v>54.99</v>
      </c>
      <c r="R231" s="1">
        <f>[1]!RCHGetYahooHistory(R$204,YEAR($G231),MONTH($G231),DAY($G231),YEAR($G231),MONTH($G231),DAY($G231),"w","a",0,0,0)</f>
        <v>169</v>
      </c>
      <c r="S231" s="1">
        <f>[1]!RCHGetYahooHistory(S$204,YEAR($G231),MONTH($G231),DAY($G231),YEAR($G231),MONTH($G231),DAY($G231),"w","a",0,0,0)</f>
        <v>14.97</v>
      </c>
      <c r="T231" s="1">
        <f>[1]!RCHGetYahooHistory(T$204,YEAR($G231),MONTH($G231),DAY($G231),YEAR($G231),MONTH($G231),DAY($G231),"w","a",0,0,0)</f>
        <v>8.62</v>
      </c>
      <c r="U231" s="1">
        <f>[1]!RCHGetYahooHistory(U$204,YEAR($G231),MONTH($G231),DAY($G231),YEAR($G231),MONTH($G231),DAY($G231),"w","a",0,0,0)</f>
        <v>31.06</v>
      </c>
      <c r="V231" s="1">
        <f>[1]!RCHGetYahooHistory(V$204,YEAR($G231),MONTH($G231),DAY($G231),YEAR($G231),MONTH($G231),DAY($G231),"w","a",0,0,0)</f>
        <v>14.01</v>
      </c>
      <c r="W231" s="1">
        <f>[1]!RCHGetYahooHistory(W$204,YEAR($G231),MONTH($G231),DAY($G231),YEAR($G231),MONTH($G231),DAY($G231),"w","a",0,0,0)</f>
        <v>34.53</v>
      </c>
      <c r="X231" s="1">
        <f>[1]!RCHGetYahooHistory(X$204,YEAR($G231),MONTH($G231),DAY($G231),YEAR($G231),MONTH($G231),DAY($G231),"w","a",0,0,0)</f>
        <v>63.62</v>
      </c>
      <c r="Y231" s="1">
        <f>[1]!RCHGetYahooHistory(Y$204,YEAR($G231),MONTH($G231),DAY($G231),YEAR($G231),MONTH($G231),DAY($G231),"w","a",0,0,0)</f>
        <v>137.03</v>
      </c>
      <c r="Z231" s="1">
        <f>[1]!RCHGetYahooHistory(Z$204,YEAR($G231),MONTH($G231),DAY($G231),YEAR($G231),MONTH($G231),DAY($G231),"w","a",0,0,0)</f>
        <v>34.04</v>
      </c>
    </row>
    <row r="232" spans="1:7" ht="15">
      <c r="A232" s="97">
        <f>SUMPRODUCT(H114:Y114,H232:Y232)</f>
        <v>0</v>
      </c>
      <c r="B232" s="98">
        <f>SUMPRODUCT(H114:Y114,H233:Y233)</f>
        <v>0</v>
      </c>
      <c r="C232" s="98" t="e">
        <f t="shared" si="22"/>
        <v>#DIV/0!</v>
      </c>
      <c r="D232" s="98" t="e">
        <f t="shared" si="23"/>
        <v>#VALUE!</v>
      </c>
      <c r="E232" s="98" t="e">
        <f>[1]!RCHGetYahooHistory("SPY",YEAR(G232),MONTH(G232),DAY(G232),YEAR(G232),MONTH(G232),DAY(G232),"w","a",0,0,0)/1.2479</f>
        <v>#VALUE!</v>
      </c>
      <c r="F232" s="99">
        <f t="shared" si="24"/>
        <v>0</v>
      </c>
      <c r="G232" s="90"/>
    </row>
    <row r="233" ht="15">
      <c r="G233" s="102"/>
    </row>
    <row r="234" ht="15">
      <c r="G234" s="90"/>
    </row>
  </sheetData>
  <sheetProtection/>
  <mergeCells count="5">
    <mergeCell ref="A39:O39"/>
    <mergeCell ref="A1:M1"/>
    <mergeCell ref="A2:B2"/>
    <mergeCell ref="D2:E2"/>
    <mergeCell ref="A4:M4"/>
  </mergeCells>
  <conditionalFormatting sqref="I6:I33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F68 J6:J33 F70:F71 F37 M37 O68 K41:K64">
    <cfRule type="cellIs" priority="13" dxfId="3" operator="lessThan" stopIfTrue="1">
      <formula>0</formula>
    </cfRule>
    <cfRule type="cellIs" priority="14" dxfId="2" operator="greaterThan" stopIfTrue="1">
      <formula>0</formula>
    </cfRule>
  </conditionalFormatting>
  <conditionalFormatting sqref="O67 E70:E71 F36 M36 F67 J41:J64"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C205:C232">
    <cfRule type="cellIs" priority="7" dxfId="6" operator="greaterThan" stopIfTrue="1">
      <formula>$D$205</formula>
    </cfRule>
    <cfRule type="cellIs" priority="8" dxfId="7" operator="lessThan" stopIfTrue="1">
      <formula>$D$205+0.00001</formula>
    </cfRule>
  </conditionalFormatting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Ricemutt</dc:creator>
  <cp:keywords/>
  <dc:description/>
  <cp:lastModifiedBy>220019347</cp:lastModifiedBy>
  <dcterms:created xsi:type="dcterms:W3CDTF">2006-01-28T20:34:46Z</dcterms:created>
  <dcterms:modified xsi:type="dcterms:W3CDTF">2008-08-15T11:58:48Z</dcterms:modified>
  <cp:category/>
  <cp:version/>
  <cp:contentType/>
  <cp:contentStatus/>
</cp:coreProperties>
</file>